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cycrisp/Downloads/"/>
    </mc:Choice>
  </mc:AlternateContent>
  <xr:revisionPtr revIDLastSave="0" documentId="13_ncr:1_{0480E17C-9857-BB4E-AD6A-011538A16938}" xr6:coauthVersionLast="46" xr6:coauthVersionMax="46" xr10:uidLastSave="{00000000-0000-0000-0000-000000000000}"/>
  <bookViews>
    <workbookView xWindow="0" yWindow="460" windowWidth="28800" windowHeight="16280" xr2:uid="{00000000-000D-0000-FFFF-FFFF00000000}"/>
  </bookViews>
  <sheets>
    <sheet name="Budget vs. Actuals" sheetId="1" r:id="rId1"/>
  </sheets>
  <definedNames>
    <definedName name="_xlnm.Print_Area" localSheetId="0">'Budget vs. Actuals'!$A$1:$E$115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C27" i="1"/>
  <c r="D27" i="1"/>
  <c r="E27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D44" i="1"/>
  <c r="E44" i="1"/>
  <c r="B45" i="1"/>
  <c r="C45" i="1"/>
  <c r="D45" i="1"/>
  <c r="E45" i="1"/>
  <c r="B46" i="1"/>
  <c r="C46" i="1"/>
  <c r="D46" i="1"/>
  <c r="E46" i="1"/>
  <c r="B47" i="1"/>
  <c r="C47" i="1"/>
  <c r="D47" i="1"/>
  <c r="E47" i="1"/>
  <c r="B48" i="1"/>
  <c r="C48" i="1"/>
  <c r="D48" i="1"/>
  <c r="E48" i="1"/>
  <c r="B49" i="1"/>
  <c r="C49" i="1"/>
  <c r="D49" i="1"/>
  <c r="E49" i="1"/>
  <c r="B50" i="1"/>
  <c r="C50" i="1"/>
  <c r="D50" i="1"/>
  <c r="E50" i="1"/>
  <c r="B51" i="1"/>
  <c r="D51" i="1"/>
  <c r="E51" i="1"/>
  <c r="B52" i="1"/>
  <c r="C52" i="1"/>
  <c r="D52" i="1"/>
  <c r="E52" i="1"/>
  <c r="B53" i="1"/>
  <c r="D53" i="1"/>
  <c r="E53" i="1"/>
  <c r="B54" i="1"/>
  <c r="D54" i="1"/>
  <c r="E54" i="1"/>
  <c r="B55" i="1"/>
  <c r="D55" i="1"/>
  <c r="E55" i="1"/>
  <c r="B56" i="1"/>
  <c r="C56" i="1"/>
  <c r="D56" i="1"/>
  <c r="E56" i="1"/>
  <c r="B57" i="1"/>
  <c r="D57" i="1"/>
  <c r="E57" i="1"/>
  <c r="B58" i="1"/>
  <c r="D58" i="1"/>
  <c r="E58" i="1"/>
  <c r="B59" i="1"/>
  <c r="D59" i="1"/>
  <c r="E59" i="1"/>
  <c r="B60" i="1"/>
  <c r="C60" i="1"/>
  <c r="D60" i="1"/>
  <c r="E60" i="1"/>
  <c r="B61" i="1"/>
  <c r="C61" i="1"/>
  <c r="D61" i="1"/>
  <c r="E61" i="1"/>
  <c r="B62" i="1"/>
  <c r="C62" i="1"/>
  <c r="D62" i="1"/>
  <c r="E62" i="1"/>
  <c r="B63" i="1"/>
  <c r="C63" i="1"/>
  <c r="D63" i="1"/>
  <c r="E63" i="1"/>
  <c r="B64" i="1"/>
  <c r="C64" i="1"/>
  <c r="D64" i="1"/>
  <c r="E64" i="1"/>
  <c r="B65" i="1"/>
  <c r="C65" i="1"/>
  <c r="D65" i="1"/>
  <c r="E65" i="1"/>
  <c r="B66" i="1"/>
  <c r="C66" i="1"/>
  <c r="D66" i="1"/>
  <c r="E66" i="1"/>
  <c r="B67" i="1"/>
  <c r="C67" i="1"/>
  <c r="D67" i="1"/>
  <c r="E67" i="1"/>
  <c r="B68" i="1"/>
  <c r="C68" i="1"/>
  <c r="D68" i="1"/>
  <c r="E68" i="1"/>
  <c r="B69" i="1"/>
  <c r="D69" i="1"/>
  <c r="E69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74" i="1"/>
  <c r="D74" i="1"/>
  <c r="E74" i="1"/>
  <c r="B75" i="1"/>
  <c r="D75" i="1"/>
  <c r="E75" i="1"/>
  <c r="D76" i="1"/>
  <c r="E76" i="1"/>
  <c r="B77" i="1"/>
  <c r="D77" i="1"/>
  <c r="E77" i="1"/>
  <c r="B78" i="1"/>
  <c r="D78" i="1"/>
  <c r="E78" i="1"/>
  <c r="C79" i="1"/>
  <c r="D79" i="1"/>
  <c r="E79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D83" i="1"/>
  <c r="E83" i="1"/>
  <c r="B84" i="1"/>
  <c r="C84" i="1"/>
  <c r="D84" i="1"/>
  <c r="E84" i="1"/>
  <c r="B85" i="1"/>
  <c r="C85" i="1"/>
  <c r="D85" i="1"/>
  <c r="E85" i="1"/>
  <c r="B86" i="1"/>
  <c r="C86" i="1"/>
  <c r="D86" i="1"/>
  <c r="E86" i="1"/>
  <c r="D87" i="1"/>
  <c r="E87" i="1"/>
  <c r="B88" i="1"/>
  <c r="C88" i="1"/>
  <c r="D88" i="1"/>
  <c r="E88" i="1"/>
  <c r="B89" i="1"/>
  <c r="C89" i="1"/>
  <c r="D89" i="1"/>
  <c r="E89" i="1"/>
  <c r="B90" i="1"/>
  <c r="C90" i="1"/>
  <c r="D90" i="1"/>
  <c r="E90" i="1"/>
  <c r="B91" i="1"/>
  <c r="C91" i="1"/>
  <c r="D91" i="1"/>
  <c r="E91" i="1"/>
  <c r="B92" i="1"/>
  <c r="C92" i="1"/>
  <c r="D92" i="1"/>
  <c r="E92" i="1"/>
  <c r="B93" i="1"/>
  <c r="C93" i="1"/>
  <c r="D93" i="1"/>
  <c r="E93" i="1"/>
  <c r="B94" i="1"/>
  <c r="C94" i="1"/>
  <c r="D94" i="1"/>
  <c r="E94" i="1"/>
  <c r="B95" i="1"/>
  <c r="C95" i="1"/>
  <c r="D95" i="1"/>
  <c r="E95" i="1"/>
  <c r="D96" i="1"/>
  <c r="E96" i="1"/>
  <c r="B97" i="1"/>
  <c r="D97" i="1"/>
  <c r="E97" i="1"/>
  <c r="B98" i="1"/>
  <c r="C98" i="1"/>
  <c r="D98" i="1"/>
  <c r="E98" i="1"/>
  <c r="B99" i="1"/>
  <c r="C99" i="1"/>
  <c r="D99" i="1"/>
  <c r="E99" i="1"/>
  <c r="B100" i="1"/>
  <c r="C100" i="1"/>
  <c r="D100" i="1"/>
  <c r="E100" i="1"/>
  <c r="B101" i="1"/>
  <c r="C101" i="1"/>
  <c r="D101" i="1"/>
  <c r="E101" i="1"/>
  <c r="B102" i="1"/>
  <c r="C102" i="1"/>
  <c r="D102" i="1"/>
  <c r="E102" i="1"/>
  <c r="D103" i="1"/>
  <c r="E103" i="1"/>
  <c r="B104" i="1"/>
  <c r="D104" i="1"/>
  <c r="E104" i="1"/>
  <c r="B105" i="1"/>
  <c r="C105" i="1"/>
  <c r="D105" i="1"/>
  <c r="E105" i="1"/>
  <c r="B106" i="1"/>
  <c r="C106" i="1"/>
  <c r="D106" i="1"/>
  <c r="E106" i="1"/>
  <c r="C107" i="1"/>
  <c r="D107" i="1"/>
  <c r="E107" i="1"/>
  <c r="B108" i="1"/>
  <c r="D108" i="1"/>
  <c r="E108" i="1"/>
  <c r="B109" i="1"/>
  <c r="D109" i="1"/>
  <c r="E109" i="1"/>
  <c r="B110" i="1"/>
  <c r="C110" i="1"/>
  <c r="D110" i="1"/>
  <c r="E110" i="1"/>
  <c r="B111" i="1"/>
  <c r="D111" i="1"/>
  <c r="E111" i="1"/>
  <c r="B112" i="1"/>
  <c r="C112" i="1"/>
  <c r="D112" i="1"/>
  <c r="E112" i="1"/>
  <c r="B113" i="1"/>
  <c r="D113" i="1"/>
  <c r="E113" i="1"/>
  <c r="B114" i="1"/>
  <c r="C114" i="1"/>
  <c r="D114" i="1"/>
  <c r="E114" i="1"/>
  <c r="B115" i="1"/>
  <c r="C115" i="1"/>
  <c r="D115" i="1"/>
  <c r="E115" i="1"/>
</calcChain>
</file>

<file path=xl/sharedStrings.xml><?xml version="1.0" encoding="utf-8"?>
<sst xmlns="http://schemas.openxmlformats.org/spreadsheetml/2006/main" count="117" uniqueCount="117">
  <si>
    <t>Total</t>
  </si>
  <si>
    <t>Actual</t>
  </si>
  <si>
    <t>Budget</t>
  </si>
  <si>
    <t>Income</t>
  </si>
  <si>
    <t xml:space="preserve">   4030 Fees</t>
  </si>
  <si>
    <t xml:space="preserve">   Total 4030 Fees</t>
  </si>
  <si>
    <t xml:space="preserve">   4100 Consulting Revenue</t>
  </si>
  <si>
    <t xml:space="preserve">   4600 Insurance Payment</t>
  </si>
  <si>
    <t xml:space="preserve">   4700 Copayments</t>
  </si>
  <si>
    <t xml:space="preserve">   4855 Billing Service Income</t>
  </si>
  <si>
    <t xml:space="preserve">   4950 Medical Records Copies</t>
  </si>
  <si>
    <t>Total Income</t>
  </si>
  <si>
    <t>Expenses</t>
  </si>
  <si>
    <t xml:space="preserve">   4250 Patient Refunds</t>
  </si>
  <si>
    <t xml:space="preserve">   5000 Advertising</t>
  </si>
  <si>
    <t xml:space="preserve">   5050 Answering Service</t>
  </si>
  <si>
    <t xml:space="preserve">   5090 Recruitment</t>
  </si>
  <si>
    <t xml:space="preserve">   5100 Salaries</t>
  </si>
  <si>
    <t xml:space="preserve">   5200 Payroll Service</t>
  </si>
  <si>
    <t xml:space="preserve">   5300 Payroll Taxes</t>
  </si>
  <si>
    <t xml:space="preserve">   5410 Credit Card Fees</t>
  </si>
  <si>
    <t xml:space="preserve">   5980 Retirement Plan Expenses</t>
  </si>
  <si>
    <t xml:space="preserve">   6015 Gifts &amp; Floral</t>
  </si>
  <si>
    <t xml:space="preserve">   6021 Special Events</t>
  </si>
  <si>
    <t xml:space="preserve">   6025 Charitable Contributions</t>
  </si>
  <si>
    <t xml:space="preserve">   6120 Bank Service Charges</t>
  </si>
  <si>
    <t xml:space="preserve">   6160 Dues and Subscriptions</t>
  </si>
  <si>
    <t xml:space="preserve">   6170 Equipment Rental</t>
  </si>
  <si>
    <t xml:space="preserve">   6180 Insurance</t>
  </si>
  <si>
    <t xml:space="preserve">      6000 Dental</t>
  </si>
  <si>
    <t xml:space="preserve">      6020 Liability Insurance</t>
  </si>
  <si>
    <t xml:space="preserve">      6030 Life/Disability</t>
  </si>
  <si>
    <t xml:space="preserve">      6040 Malpractice Insurance</t>
  </si>
  <si>
    <t xml:space="preserve">      6050 Medical</t>
  </si>
  <si>
    <t xml:space="preserve">      6060 Work Comp</t>
  </si>
  <si>
    <t xml:space="preserve">      6070 Accident</t>
  </si>
  <si>
    <t xml:space="preserve">   Total 6180 Insurance</t>
  </si>
  <si>
    <t xml:space="preserve">   6200 Interest Expense</t>
  </si>
  <si>
    <t xml:space="preserve">      6220 Loan Interest - SBA Loan</t>
  </si>
  <si>
    <t xml:space="preserve">   Total 6200 Interest Expense</t>
  </si>
  <si>
    <t xml:space="preserve">   6211 Interest - SBP LOC</t>
  </si>
  <si>
    <t xml:space="preserve">   6212 Interest - SBP Small Loan</t>
  </si>
  <si>
    <t xml:space="preserve">   6213 Interest - SBP Loan</t>
  </si>
  <si>
    <t xml:space="preserve">   6230 Licenses and Permits</t>
  </si>
  <si>
    <t xml:space="preserve">   6235 Marketing</t>
  </si>
  <si>
    <t xml:space="preserve">   6240 Miscellaneous</t>
  </si>
  <si>
    <t xml:space="preserve">   6250 Postage and Delivery</t>
  </si>
  <si>
    <t xml:space="preserve">   6260 Printing &amp; Reproduction</t>
  </si>
  <si>
    <t xml:space="preserve">   6270 Professional Fees</t>
  </si>
  <si>
    <t xml:space="preserve">      6280 Legal Fees</t>
  </si>
  <si>
    <t xml:space="preserve">      6285 Accounting</t>
  </si>
  <si>
    <t xml:space="preserve">      6286 Consulting</t>
  </si>
  <si>
    <t xml:space="preserve">      6287 Website</t>
  </si>
  <si>
    <t xml:space="preserve">   Total 6270 Professional Fees</t>
  </si>
  <si>
    <t xml:space="preserve">   6290 Rent</t>
  </si>
  <si>
    <t xml:space="preserve">   6291 Garbage Service</t>
  </si>
  <si>
    <t xml:space="preserve">   6292 Janitorial Service</t>
  </si>
  <si>
    <t xml:space="preserve">   6293 Biohazard</t>
  </si>
  <si>
    <t xml:space="preserve">   6300 Repairs</t>
  </si>
  <si>
    <t xml:space="preserve">      6310 Building Repairs</t>
  </si>
  <si>
    <t xml:space="preserve">      6320 Computer Repairs</t>
  </si>
  <si>
    <t xml:space="preserve">      6330 Equipment Repairs</t>
  </si>
  <si>
    <t xml:space="preserve">   Total 6300 Repairs</t>
  </si>
  <si>
    <t xml:space="preserve">   6340 Telephone</t>
  </si>
  <si>
    <t xml:space="preserve">   6345 Cell Phones</t>
  </si>
  <si>
    <t xml:space="preserve">   6350 Travel &amp; Ent</t>
  </si>
  <si>
    <t xml:space="preserve">      6370 Meals</t>
  </si>
  <si>
    <t xml:space="preserve">      6380 Travel</t>
  </si>
  <si>
    <t xml:space="preserve">   Total 6350 Travel &amp; Ent</t>
  </si>
  <si>
    <t xml:space="preserve">   6390 Utilities</t>
  </si>
  <si>
    <t xml:space="preserve">      6400 Gas and Electric</t>
  </si>
  <si>
    <t xml:space="preserve">      6410 Water</t>
  </si>
  <si>
    <t xml:space="preserve">   Total 6390 Utilities</t>
  </si>
  <si>
    <t xml:space="preserve">   6450 Contract Labor</t>
  </si>
  <si>
    <t xml:space="preserve">   6470 Laboratory Fees</t>
  </si>
  <si>
    <t xml:space="preserve">   6550 Office Supplies</t>
  </si>
  <si>
    <t xml:space="preserve">   6630 Professional Development</t>
  </si>
  <si>
    <t xml:space="preserve">   6680 Reference Materials</t>
  </si>
  <si>
    <t xml:space="preserve">   6770 Supplies</t>
  </si>
  <si>
    <t xml:space="preserve">      6780 Marketing</t>
  </si>
  <si>
    <t xml:space="preserve">      6782 Pharmaceuticals / Injectibles</t>
  </si>
  <si>
    <t xml:space="preserve">      6785 Medical</t>
  </si>
  <si>
    <t xml:space="preserve">   Total 6770 Supplies</t>
  </si>
  <si>
    <t xml:space="preserve">   6786 Linens</t>
  </si>
  <si>
    <t xml:space="preserve">   6820 Taxes</t>
  </si>
  <si>
    <t xml:space="preserve">      6840 Local</t>
  </si>
  <si>
    <t xml:space="preserve">      6850 Property</t>
  </si>
  <si>
    <t xml:space="preserve">   Total 6820 Taxes</t>
  </si>
  <si>
    <t xml:space="preserve">   9770 Guar Pmnts to Owners</t>
  </si>
  <si>
    <t xml:space="preserve">   Total 9770 Guar Pmnts to Owners</t>
  </si>
  <si>
    <t xml:space="preserve">   Payroll Expenses</t>
  </si>
  <si>
    <t>Total Expenses</t>
  </si>
  <si>
    <t>Net Operating Income</t>
  </si>
  <si>
    <t>ACME Medical Group</t>
  </si>
  <si>
    <t>Budget vs. Actual: 20XX</t>
  </si>
  <si>
    <t>January - December 20XX</t>
  </si>
  <si>
    <t>$ Variance</t>
  </si>
  <si>
    <t>% Variance</t>
  </si>
  <si>
    <t xml:space="preserve">   4000 Capitation Revenue</t>
  </si>
  <si>
    <t xml:space="preserve">      4550 Patient - Program Fees</t>
  </si>
  <si>
    <t xml:space="preserve">      4070 Patient - Membership Fees</t>
  </si>
  <si>
    <t xml:space="preserve">      4500 Patient - Office Visit Revenue</t>
  </si>
  <si>
    <t xml:space="preserve">   4551 Exercise Program Income</t>
  </si>
  <si>
    <t xml:space="preserve">   4850 Technology Income</t>
  </si>
  <si>
    <t xml:space="preserve">   5075 Copier Lease and Maintenance</t>
  </si>
  <si>
    <t xml:space="preserve">   5080 Telephone Maintenance &amp; Lease</t>
  </si>
  <si>
    <t xml:space="preserve">   5085 Business Development Expenses</t>
  </si>
  <si>
    <t xml:space="preserve">   5095 Software Subscription Fees</t>
  </si>
  <si>
    <t xml:space="preserve">   5990 Non-Elective Contribution to 401(k)</t>
  </si>
  <si>
    <t xml:space="preserve">   6010 Flexible Spending Account</t>
  </si>
  <si>
    <t xml:space="preserve">      6210 Line of Credit Interest</t>
  </si>
  <si>
    <t xml:space="preserve">   6295 Rent - Colocation Facility</t>
  </si>
  <si>
    <t xml:space="preserve">   6790 Program Expenses</t>
  </si>
  <si>
    <t xml:space="preserve">      9780 Guar. Payment - Smith</t>
  </si>
  <si>
    <t xml:space="preserve">      9800 Guar. Payment - Jones</t>
  </si>
  <si>
    <t xml:space="preserve">      9810 Guar. Payment - Williams</t>
  </si>
  <si>
    <t xml:space="preserve">      9820 Guar. Payment - Young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</si>
</sst>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* @_)"/>
    <numFmt numFmtId="165" formatCode="_(&quot;$&quot;* #,##0.00_);[Red]_(&quot;$&quot;* \(#,##0.00\);_(&quot;$&quot;* &quot;-&quot;??_);_(* @_)"/>
  </numFmts>
  <fonts count="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39" fontId="4" fillId="0" borderId="1" xfId="0" applyNumberFormat="1" applyFont="1" applyFill="1" applyBorder="1" applyAlignment="1">
      <alignment horizontal="left"/>
    </xf>
    <xf numFmtId="39" fontId="3" fillId="0" borderId="1" xfId="0" applyNumberFormat="1" applyFont="1" applyFill="1" applyBorder="1" applyAlignment="1">
      <alignment horizontal="left"/>
    </xf>
    <xf numFmtId="39" fontId="4" fillId="0" borderId="1" xfId="0" applyNumberFormat="1" applyFont="1" applyFill="1" applyBorder="1" applyAlignment="1">
      <alignment horizontal="right"/>
    </xf>
    <xf numFmtId="10" fontId="4" fillId="0" borderId="1" xfId="0" applyNumberFormat="1" applyFont="1" applyFill="1" applyBorder="1" applyAlignment="1">
      <alignment horizontal="right"/>
    </xf>
    <xf numFmtId="10" fontId="3" fillId="0" borderId="1" xfId="0" applyNumberFormat="1" applyFont="1" applyFill="1" applyBorder="1" applyAlignment="1">
      <alignment horizontal="left"/>
    </xf>
    <xf numFmtId="40" fontId="4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0" fontId="3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5"/>
  <sheetViews>
    <sheetView tabSelected="1" zoomScale="110" zoomScaleNormal="110" workbookViewId="0">
      <selection activeCell="A20" sqref="A20"/>
    </sheetView>
  </sheetViews>
  <sheetFormatPr baseColWidth="10" defaultColWidth="9.1640625" defaultRowHeight="13" x14ac:dyDescent="0.15"/>
  <cols>
    <col min="1" max="1" width="29.6640625" customWidth="1"/>
    <col min="2" max="2" width="13.1640625" customWidth="1"/>
    <col min="3" max="3" width="12.33203125" customWidth="1"/>
    <col min="4" max="4" width="12.33203125" bestFit="1" customWidth="1"/>
    <col min="5" max="5" width="9.33203125" customWidth="1"/>
  </cols>
  <sheetData>
    <row r="1" spans="1:5" ht="18" x14ac:dyDescent="0.2">
      <c r="A1" s="1" t="s">
        <v>93</v>
      </c>
      <c r="B1" s="1"/>
      <c r="C1" s="1"/>
      <c r="D1" s="1"/>
      <c r="E1" s="1"/>
    </row>
    <row r="2" spans="1:5" ht="18" x14ac:dyDescent="0.2">
      <c r="A2" s="1" t="s">
        <v>94</v>
      </c>
      <c r="B2" s="1"/>
      <c r="C2" s="1"/>
      <c r="D2" s="1"/>
      <c r="E2" s="1"/>
    </row>
    <row r="3" spans="1:5" x14ac:dyDescent="0.15">
      <c r="A3" s="2" t="s">
        <v>95</v>
      </c>
      <c r="B3" s="3"/>
      <c r="C3" s="3"/>
      <c r="D3" s="3"/>
      <c r="E3" s="3"/>
    </row>
    <row r="4" spans="1:5" x14ac:dyDescent="0.15">
      <c r="A4" s="4"/>
      <c r="B4" s="4"/>
      <c r="C4" s="4"/>
      <c r="D4" s="4"/>
      <c r="E4" s="4"/>
    </row>
    <row r="5" spans="1:5" x14ac:dyDescent="0.15">
      <c r="A5" s="5"/>
      <c r="B5" s="6" t="s">
        <v>0</v>
      </c>
      <c r="C5" s="6"/>
      <c r="D5" s="6"/>
      <c r="E5" s="6"/>
    </row>
    <row r="6" spans="1:5" x14ac:dyDescent="0.15">
      <c r="A6" s="6"/>
      <c r="B6" s="6" t="s">
        <v>1</v>
      </c>
      <c r="C6" s="6" t="s">
        <v>2</v>
      </c>
      <c r="D6" s="6" t="s">
        <v>96</v>
      </c>
      <c r="E6" s="6" t="s">
        <v>97</v>
      </c>
    </row>
    <row r="7" spans="1:5" x14ac:dyDescent="0.15">
      <c r="A7" s="7" t="s">
        <v>3</v>
      </c>
      <c r="B7" s="8"/>
      <c r="C7" s="8"/>
      <c r="D7" s="8"/>
      <c r="E7" s="8"/>
    </row>
    <row r="8" spans="1:5" x14ac:dyDescent="0.15">
      <c r="A8" s="9" t="s">
        <v>98</v>
      </c>
      <c r="B8" s="10">
        <f>30258.25</f>
        <v>30258.25</v>
      </c>
      <c r="C8" s="10">
        <f>26292</f>
        <v>26292</v>
      </c>
      <c r="D8" s="10">
        <f t="shared" ref="D8:D21" si="0">(B8)-C8</f>
        <v>3966.25</v>
      </c>
      <c r="E8" s="11">
        <f t="shared" ref="E8:E21" si="1">IF(C8=0,"",(B8)/C8)</f>
        <v>1.1508538719001977</v>
      </c>
    </row>
    <row r="9" spans="1:5" x14ac:dyDescent="0.15">
      <c r="A9" s="12" t="s">
        <v>4</v>
      </c>
      <c r="B9" s="8"/>
      <c r="C9" s="8"/>
      <c r="D9" s="10">
        <f t="shared" si="0"/>
        <v>0</v>
      </c>
      <c r="E9" s="11" t="str">
        <f t="shared" si="1"/>
        <v/>
      </c>
    </row>
    <row r="10" spans="1:5" x14ac:dyDescent="0.15">
      <c r="A10" s="12" t="s">
        <v>100</v>
      </c>
      <c r="B10" s="10">
        <f>1116539.9</f>
        <v>1116539.8999999999</v>
      </c>
      <c r="C10" s="10">
        <f>1395901</f>
        <v>1395901</v>
      </c>
      <c r="D10" s="13">
        <f t="shared" si="0"/>
        <v>-279361.10000000009</v>
      </c>
      <c r="E10" s="11">
        <f t="shared" si="1"/>
        <v>0.79987040628239392</v>
      </c>
    </row>
    <row r="11" spans="1:5" x14ac:dyDescent="0.15">
      <c r="A11" s="12" t="s">
        <v>101</v>
      </c>
      <c r="B11" s="10">
        <f>203064.89</f>
        <v>203064.89</v>
      </c>
      <c r="C11" s="10">
        <f>244420</f>
        <v>244420</v>
      </c>
      <c r="D11" s="13">
        <f t="shared" si="0"/>
        <v>-41355.109999999986</v>
      </c>
      <c r="E11" s="11">
        <f t="shared" si="1"/>
        <v>0.83080308485393994</v>
      </c>
    </row>
    <row r="12" spans="1:5" x14ac:dyDescent="0.15">
      <c r="A12" s="12" t="s">
        <v>99</v>
      </c>
      <c r="B12" s="10">
        <f>18203.75</f>
        <v>18203.75</v>
      </c>
      <c r="C12" s="10">
        <f>45828</f>
        <v>45828</v>
      </c>
      <c r="D12" s="13">
        <f t="shared" si="0"/>
        <v>-27624.25</v>
      </c>
      <c r="E12" s="11">
        <f t="shared" si="1"/>
        <v>0.39721894911407873</v>
      </c>
    </row>
    <row r="13" spans="1:5" x14ac:dyDescent="0.15">
      <c r="A13" s="12" t="s">
        <v>5</v>
      </c>
      <c r="B13" s="14">
        <f>(((B9)+B10)+B11)+B12</f>
        <v>1337808.54</v>
      </c>
      <c r="C13" s="14">
        <f>(((C9)+C10)+C11)+C12</f>
        <v>1686149</v>
      </c>
      <c r="D13" s="15">
        <f t="shared" si="0"/>
        <v>-348340.45999999996</v>
      </c>
      <c r="E13" s="16">
        <f t="shared" si="1"/>
        <v>0.79341062978420063</v>
      </c>
    </row>
    <row r="14" spans="1:5" x14ac:dyDescent="0.15">
      <c r="A14" s="12" t="s">
        <v>6</v>
      </c>
      <c r="B14" s="10">
        <f>307713.4</f>
        <v>307713.40000000002</v>
      </c>
      <c r="C14" s="10">
        <f>399250</f>
        <v>399250</v>
      </c>
      <c r="D14" s="13">
        <f t="shared" si="0"/>
        <v>-91536.599999999977</v>
      </c>
      <c r="E14" s="11">
        <f t="shared" si="1"/>
        <v>0.7707286161552912</v>
      </c>
    </row>
    <row r="15" spans="1:5" x14ac:dyDescent="0.15">
      <c r="A15" s="12" t="s">
        <v>102</v>
      </c>
      <c r="B15" s="10">
        <f>10245.96</f>
        <v>10245.959999999999</v>
      </c>
      <c r="C15" s="10"/>
      <c r="D15" s="10">
        <f t="shared" si="0"/>
        <v>10245.959999999999</v>
      </c>
      <c r="E15" s="11" t="str">
        <f t="shared" si="1"/>
        <v/>
      </c>
    </row>
    <row r="16" spans="1:5" x14ac:dyDescent="0.15">
      <c r="A16" s="12" t="s">
        <v>7</v>
      </c>
      <c r="B16" s="10">
        <f>1375675.59</f>
        <v>1375675.59</v>
      </c>
      <c r="C16" s="10">
        <f>1113108</f>
        <v>1113108</v>
      </c>
      <c r="D16" s="10">
        <f t="shared" si="0"/>
        <v>262567.59000000008</v>
      </c>
      <c r="E16" s="11">
        <f t="shared" si="1"/>
        <v>1.2358868950721764</v>
      </c>
    </row>
    <row r="17" spans="1:5" x14ac:dyDescent="0.15">
      <c r="A17" s="12" t="s">
        <v>8</v>
      </c>
      <c r="B17" s="10">
        <f>4514.49</f>
        <v>4514.49</v>
      </c>
      <c r="C17" s="10">
        <f>1944</f>
        <v>1944</v>
      </c>
      <c r="D17" s="10">
        <f t="shared" si="0"/>
        <v>2570.4899999999998</v>
      </c>
      <c r="E17" s="11">
        <f t="shared" si="1"/>
        <v>2.3222685185185186</v>
      </c>
    </row>
    <row r="18" spans="1:5" x14ac:dyDescent="0.15">
      <c r="A18" s="12" t="s">
        <v>103</v>
      </c>
      <c r="B18" s="10">
        <f>178715.68</f>
        <v>178715.68</v>
      </c>
      <c r="C18" s="10">
        <f>207649</f>
        <v>207649</v>
      </c>
      <c r="D18" s="13">
        <f t="shared" si="0"/>
        <v>-28933.320000000007</v>
      </c>
      <c r="E18" s="11">
        <f t="shared" si="1"/>
        <v>0.86066236774557059</v>
      </c>
    </row>
    <row r="19" spans="1:5" x14ac:dyDescent="0.15">
      <c r="A19" s="12" t="s">
        <v>9</v>
      </c>
      <c r="B19" s="10">
        <f>26104.17</f>
        <v>26104.17</v>
      </c>
      <c r="C19" s="10">
        <f>51300</f>
        <v>51300</v>
      </c>
      <c r="D19" s="13">
        <f t="shared" si="0"/>
        <v>-25195.83</v>
      </c>
      <c r="E19" s="11">
        <f t="shared" si="1"/>
        <v>0.50885321637426895</v>
      </c>
    </row>
    <row r="20" spans="1:5" x14ac:dyDescent="0.15">
      <c r="A20" s="12" t="s">
        <v>10</v>
      </c>
      <c r="B20" s="10">
        <f>1286.5</f>
        <v>1286.5</v>
      </c>
      <c r="C20" s="10">
        <f>3409</f>
        <v>3409</v>
      </c>
      <c r="D20" s="13">
        <f t="shared" si="0"/>
        <v>-2122.5</v>
      </c>
      <c r="E20" s="11">
        <f t="shared" si="1"/>
        <v>0.37738339689058376</v>
      </c>
    </row>
    <row r="21" spans="1:5" x14ac:dyDescent="0.15">
      <c r="A21" s="12" t="s">
        <v>11</v>
      </c>
      <c r="B21" s="14">
        <f>((((((((B8)+B13)+B14)+B15)+B16)+B17)+B18)+B19)+B20</f>
        <v>3272322.5800000005</v>
      </c>
      <c r="C21" s="14">
        <f>((((((((C8)+C13)+C14)+C15)+C16)+C17)+C18)+C19)+C20</f>
        <v>3489101</v>
      </c>
      <c r="D21" s="15">
        <f t="shared" si="0"/>
        <v>-216778.41999999946</v>
      </c>
      <c r="E21" s="16">
        <f t="shared" si="1"/>
        <v>0.93786983523836098</v>
      </c>
    </row>
    <row r="22" spans="1:5" x14ac:dyDescent="0.15">
      <c r="A22" s="12" t="s">
        <v>12</v>
      </c>
      <c r="B22" s="8"/>
      <c r="C22" s="8"/>
      <c r="D22" s="8"/>
      <c r="E22" s="8"/>
    </row>
    <row r="23" spans="1:5" x14ac:dyDescent="0.15">
      <c r="A23" s="9" t="s">
        <v>13</v>
      </c>
      <c r="B23" s="10">
        <f>17067.2</f>
        <v>17067.2</v>
      </c>
      <c r="C23" s="10">
        <f>11433</f>
        <v>11433</v>
      </c>
      <c r="D23" s="10">
        <f t="shared" ref="D23:D54" si="2">(B23)-C23</f>
        <v>5634.2000000000007</v>
      </c>
      <c r="E23" s="11">
        <f t="shared" ref="E23:E54" si="3">IF(C23=0,"",(B23)/C23)</f>
        <v>1.4928015394034813</v>
      </c>
    </row>
    <row r="24" spans="1:5" x14ac:dyDescent="0.15">
      <c r="A24" s="12" t="s">
        <v>14</v>
      </c>
      <c r="B24" s="10">
        <f>26024.98</f>
        <v>26024.98</v>
      </c>
      <c r="C24" s="10">
        <f>60764</f>
        <v>60764</v>
      </c>
      <c r="D24" s="13">
        <f t="shared" si="2"/>
        <v>-34739.020000000004</v>
      </c>
      <c r="E24" s="11">
        <f t="shared" si="3"/>
        <v>0.4282960305444013</v>
      </c>
    </row>
    <row r="25" spans="1:5" x14ac:dyDescent="0.15">
      <c r="A25" s="12" t="s">
        <v>15</v>
      </c>
      <c r="B25" s="10">
        <f>5753.77</f>
        <v>5753.77</v>
      </c>
      <c r="C25" s="10">
        <f>9520</f>
        <v>9520</v>
      </c>
      <c r="D25" s="13">
        <f t="shared" si="2"/>
        <v>-3766.2299999999996</v>
      </c>
      <c r="E25" s="11">
        <f t="shared" si="3"/>
        <v>0.60438760504201683</v>
      </c>
    </row>
    <row r="26" spans="1:5" x14ac:dyDescent="0.15">
      <c r="A26" s="12" t="s">
        <v>104</v>
      </c>
      <c r="B26" s="10">
        <f>933.23</f>
        <v>933.23</v>
      </c>
      <c r="C26" s="10">
        <f>0</f>
        <v>0</v>
      </c>
      <c r="D26" s="10">
        <f t="shared" si="2"/>
        <v>933.23</v>
      </c>
      <c r="E26" s="11" t="str">
        <f t="shared" si="3"/>
        <v/>
      </c>
    </row>
    <row r="27" spans="1:5" x14ac:dyDescent="0.15">
      <c r="A27" s="12" t="s">
        <v>105</v>
      </c>
      <c r="B27" s="8"/>
      <c r="C27" s="10">
        <f>0</f>
        <v>0</v>
      </c>
      <c r="D27" s="10">
        <f t="shared" si="2"/>
        <v>0</v>
      </c>
      <c r="E27" s="11" t="str">
        <f t="shared" si="3"/>
        <v/>
      </c>
    </row>
    <row r="28" spans="1:5" x14ac:dyDescent="0.15">
      <c r="A28" s="12" t="s">
        <v>106</v>
      </c>
      <c r="B28" s="8"/>
      <c r="C28" s="10">
        <f>3600</f>
        <v>3600</v>
      </c>
      <c r="D28" s="13">
        <f t="shared" si="2"/>
        <v>-3600</v>
      </c>
      <c r="E28" s="11">
        <f t="shared" si="3"/>
        <v>0</v>
      </c>
    </row>
    <row r="29" spans="1:5" x14ac:dyDescent="0.15">
      <c r="A29" s="12" t="s">
        <v>16</v>
      </c>
      <c r="B29" s="10">
        <f>164.85</f>
        <v>164.85</v>
      </c>
      <c r="C29" s="10">
        <f>300</f>
        <v>300</v>
      </c>
      <c r="D29" s="13">
        <f t="shared" si="2"/>
        <v>-135.15</v>
      </c>
      <c r="E29" s="11">
        <f t="shared" si="3"/>
        <v>0.54949999999999999</v>
      </c>
    </row>
    <row r="30" spans="1:5" x14ac:dyDescent="0.15">
      <c r="A30" s="12" t="s">
        <v>107</v>
      </c>
      <c r="B30" s="10">
        <f>57001.48</f>
        <v>57001.48</v>
      </c>
      <c r="C30" s="10">
        <f>54760</f>
        <v>54760</v>
      </c>
      <c r="D30" s="10">
        <f t="shared" si="2"/>
        <v>2241.4800000000032</v>
      </c>
      <c r="E30" s="11">
        <f t="shared" si="3"/>
        <v>1.0409327976625276</v>
      </c>
    </row>
    <row r="31" spans="1:5" x14ac:dyDescent="0.15">
      <c r="A31" s="12" t="s">
        <v>17</v>
      </c>
      <c r="B31" s="10">
        <f>1488513.31</f>
        <v>1488513.31</v>
      </c>
      <c r="C31" s="10">
        <f>1539663</f>
        <v>1539663</v>
      </c>
      <c r="D31" s="13">
        <f t="shared" si="2"/>
        <v>-51149.689999999944</v>
      </c>
      <c r="E31" s="11">
        <f t="shared" si="3"/>
        <v>0.96677864571662764</v>
      </c>
    </row>
    <row r="32" spans="1:5" x14ac:dyDescent="0.15">
      <c r="A32" s="12" t="s">
        <v>18</v>
      </c>
      <c r="B32" s="10">
        <f>4447.32</f>
        <v>4447.32</v>
      </c>
      <c r="C32" s="10">
        <f>10551</f>
        <v>10551</v>
      </c>
      <c r="D32" s="13">
        <f t="shared" si="2"/>
        <v>-6103.68</v>
      </c>
      <c r="E32" s="11">
        <f t="shared" si="3"/>
        <v>0.42150696616434458</v>
      </c>
    </row>
    <row r="33" spans="1:5" x14ac:dyDescent="0.15">
      <c r="A33" s="12" t="s">
        <v>19</v>
      </c>
      <c r="B33" s="10">
        <f>127033.2</f>
        <v>127033.2</v>
      </c>
      <c r="C33" s="10">
        <f>117016</f>
        <v>117016</v>
      </c>
      <c r="D33" s="10">
        <f t="shared" si="2"/>
        <v>10017.199999999997</v>
      </c>
      <c r="E33" s="11">
        <f t="shared" si="3"/>
        <v>1.0856053872974636</v>
      </c>
    </row>
    <row r="34" spans="1:5" x14ac:dyDescent="0.15">
      <c r="A34" s="12" t="s">
        <v>20</v>
      </c>
      <c r="B34" s="10">
        <f>31704.67</f>
        <v>31704.67</v>
      </c>
      <c r="C34" s="10">
        <f>18316</f>
        <v>18316</v>
      </c>
      <c r="D34" s="10">
        <f t="shared" si="2"/>
        <v>13388.669999999998</v>
      </c>
      <c r="E34" s="11">
        <f t="shared" si="3"/>
        <v>1.7309822013540073</v>
      </c>
    </row>
    <row r="35" spans="1:5" x14ac:dyDescent="0.15">
      <c r="A35" s="12" t="s">
        <v>21</v>
      </c>
      <c r="B35" s="10">
        <f>3021.82</f>
        <v>3021.82</v>
      </c>
      <c r="C35" s="10">
        <f>2616</f>
        <v>2616</v>
      </c>
      <c r="D35" s="10">
        <f t="shared" si="2"/>
        <v>405.82000000000016</v>
      </c>
      <c r="E35" s="11">
        <f t="shared" si="3"/>
        <v>1.1551299694189603</v>
      </c>
    </row>
    <row r="36" spans="1:5" x14ac:dyDescent="0.15">
      <c r="A36" s="12" t="s">
        <v>108</v>
      </c>
      <c r="B36" s="10">
        <f>0</f>
        <v>0</v>
      </c>
      <c r="C36" s="10"/>
      <c r="D36" s="10">
        <f t="shared" si="2"/>
        <v>0</v>
      </c>
      <c r="E36" s="11" t="str">
        <f t="shared" si="3"/>
        <v/>
      </c>
    </row>
    <row r="37" spans="1:5" x14ac:dyDescent="0.15">
      <c r="A37" s="12" t="s">
        <v>109</v>
      </c>
      <c r="B37" s="10">
        <f>927.1</f>
        <v>927.1</v>
      </c>
      <c r="C37" s="10">
        <f>1284</f>
        <v>1284</v>
      </c>
      <c r="D37" s="13">
        <f t="shared" si="2"/>
        <v>-356.9</v>
      </c>
      <c r="E37" s="11">
        <f t="shared" si="3"/>
        <v>0.72204049844236762</v>
      </c>
    </row>
    <row r="38" spans="1:5" x14ac:dyDescent="0.15">
      <c r="A38" s="12" t="s">
        <v>22</v>
      </c>
      <c r="B38" s="10">
        <f>1085.08</f>
        <v>1085.08</v>
      </c>
      <c r="C38" s="10">
        <f>3846</f>
        <v>3846</v>
      </c>
      <c r="D38" s="13">
        <f t="shared" si="2"/>
        <v>-2760.92</v>
      </c>
      <c r="E38" s="11">
        <f t="shared" si="3"/>
        <v>0.28213208528341133</v>
      </c>
    </row>
    <row r="39" spans="1:5" x14ac:dyDescent="0.15">
      <c r="A39" s="12" t="s">
        <v>23</v>
      </c>
      <c r="B39" s="10">
        <f>350</f>
        <v>350</v>
      </c>
      <c r="C39" s="10">
        <f>21469</f>
        <v>21469</v>
      </c>
      <c r="D39" s="13">
        <f t="shared" si="2"/>
        <v>-21119</v>
      </c>
      <c r="E39" s="11">
        <f t="shared" si="3"/>
        <v>1.6302575806977502E-2</v>
      </c>
    </row>
    <row r="40" spans="1:5" x14ac:dyDescent="0.15">
      <c r="A40" s="12" t="s">
        <v>24</v>
      </c>
      <c r="B40" s="10">
        <f>1000</f>
        <v>1000</v>
      </c>
      <c r="C40" s="10">
        <f>4320</f>
        <v>4320</v>
      </c>
      <c r="D40" s="13">
        <f t="shared" si="2"/>
        <v>-3320</v>
      </c>
      <c r="E40" s="11">
        <f t="shared" si="3"/>
        <v>0.23148148148148148</v>
      </c>
    </row>
    <row r="41" spans="1:5" x14ac:dyDescent="0.15">
      <c r="A41" s="12" t="s">
        <v>25</v>
      </c>
      <c r="B41" s="10">
        <f>2912.65</f>
        <v>2912.65</v>
      </c>
      <c r="C41" s="10">
        <f>8273</f>
        <v>8273</v>
      </c>
      <c r="D41" s="13">
        <f t="shared" si="2"/>
        <v>-5360.35</v>
      </c>
      <c r="E41" s="11">
        <f t="shared" si="3"/>
        <v>0.35206696482533545</v>
      </c>
    </row>
    <row r="42" spans="1:5" x14ac:dyDescent="0.15">
      <c r="A42" s="12" t="s">
        <v>26</v>
      </c>
      <c r="B42" s="10">
        <f>10664</f>
        <v>10664</v>
      </c>
      <c r="C42" s="10">
        <f>11988</f>
        <v>11988</v>
      </c>
      <c r="D42" s="13">
        <f t="shared" si="2"/>
        <v>-1324</v>
      </c>
      <c r="E42" s="11">
        <f t="shared" si="3"/>
        <v>0.88955622288955627</v>
      </c>
    </row>
    <row r="43" spans="1:5" x14ac:dyDescent="0.15">
      <c r="A43" s="12" t="s">
        <v>27</v>
      </c>
      <c r="B43" s="10">
        <f>3948.6</f>
        <v>3948.6</v>
      </c>
      <c r="C43" s="10">
        <f>3000</f>
        <v>3000</v>
      </c>
      <c r="D43" s="10">
        <f t="shared" si="2"/>
        <v>948.59999999999991</v>
      </c>
      <c r="E43" s="11">
        <f t="shared" si="3"/>
        <v>1.3162</v>
      </c>
    </row>
    <row r="44" spans="1:5" x14ac:dyDescent="0.15">
      <c r="A44" s="12" t="s">
        <v>28</v>
      </c>
      <c r="B44" s="8"/>
      <c r="C44" s="8"/>
      <c r="D44" s="10">
        <f t="shared" si="2"/>
        <v>0</v>
      </c>
      <c r="E44" s="11" t="str">
        <f t="shared" si="3"/>
        <v/>
      </c>
    </row>
    <row r="45" spans="1:5" x14ac:dyDescent="0.15">
      <c r="A45" s="12" t="s">
        <v>29</v>
      </c>
      <c r="B45" s="10">
        <f>13497.96</f>
        <v>13497.96</v>
      </c>
      <c r="C45" s="10">
        <f>13860</f>
        <v>13860</v>
      </c>
      <c r="D45" s="13">
        <f t="shared" si="2"/>
        <v>-362.04000000000087</v>
      </c>
      <c r="E45" s="11">
        <f t="shared" si="3"/>
        <v>0.97387878787878779</v>
      </c>
    </row>
    <row r="46" spans="1:5" x14ac:dyDescent="0.15">
      <c r="A46" s="12" t="s">
        <v>30</v>
      </c>
      <c r="B46" s="10">
        <f>2030.98</f>
        <v>2030.98</v>
      </c>
      <c r="C46" s="10">
        <f>3360</f>
        <v>3360</v>
      </c>
      <c r="D46" s="13">
        <f t="shared" si="2"/>
        <v>-1329.02</v>
      </c>
      <c r="E46" s="11">
        <f t="shared" si="3"/>
        <v>0.60445833333333332</v>
      </c>
    </row>
    <row r="47" spans="1:5" x14ac:dyDescent="0.15">
      <c r="A47" s="12" t="s">
        <v>31</v>
      </c>
      <c r="B47" s="10">
        <f>17807.97</f>
        <v>17807.97</v>
      </c>
      <c r="C47" s="10">
        <f>13752</f>
        <v>13752</v>
      </c>
      <c r="D47" s="10">
        <f t="shared" si="2"/>
        <v>4055.9700000000012</v>
      </c>
      <c r="E47" s="11">
        <f t="shared" si="3"/>
        <v>1.2949367364746946</v>
      </c>
    </row>
    <row r="48" spans="1:5" x14ac:dyDescent="0.15">
      <c r="A48" s="12" t="s">
        <v>32</v>
      </c>
      <c r="B48" s="10">
        <f>45273.66</f>
        <v>45273.66</v>
      </c>
      <c r="C48" s="10">
        <f>63900</f>
        <v>63900</v>
      </c>
      <c r="D48" s="13">
        <f t="shared" si="2"/>
        <v>-18626.339999999997</v>
      </c>
      <c r="E48" s="11">
        <f t="shared" si="3"/>
        <v>0.70850798122065728</v>
      </c>
    </row>
    <row r="49" spans="1:5" x14ac:dyDescent="0.15">
      <c r="A49" s="12" t="s">
        <v>33</v>
      </c>
      <c r="B49" s="10">
        <f>91976.64</f>
        <v>91976.639999999999</v>
      </c>
      <c r="C49" s="10">
        <f>107712</f>
        <v>107712</v>
      </c>
      <c r="D49" s="13">
        <f t="shared" si="2"/>
        <v>-15735.36</v>
      </c>
      <c r="E49" s="11">
        <f t="shared" si="3"/>
        <v>0.85391265597147947</v>
      </c>
    </row>
    <row r="50" spans="1:5" x14ac:dyDescent="0.15">
      <c r="A50" s="12" t="s">
        <v>34</v>
      </c>
      <c r="B50" s="10">
        <f>6861.41</f>
        <v>6861.41</v>
      </c>
      <c r="C50" s="10">
        <f>2244</f>
        <v>2244</v>
      </c>
      <c r="D50" s="10">
        <f t="shared" si="2"/>
        <v>4617.41</v>
      </c>
      <c r="E50" s="11">
        <f t="shared" si="3"/>
        <v>3.0576693404634581</v>
      </c>
    </row>
    <row r="51" spans="1:5" x14ac:dyDescent="0.15">
      <c r="A51" s="12" t="s">
        <v>35</v>
      </c>
      <c r="B51" s="10">
        <f>262.3</f>
        <v>262.3</v>
      </c>
      <c r="C51" s="10"/>
      <c r="D51" s="10">
        <f t="shared" si="2"/>
        <v>262.3</v>
      </c>
      <c r="E51" s="11" t="str">
        <f t="shared" si="3"/>
        <v/>
      </c>
    </row>
    <row r="52" spans="1:5" x14ac:dyDescent="0.15">
      <c r="A52" s="12" t="s">
        <v>36</v>
      </c>
      <c r="B52" s="14">
        <f>(((((((B44)+B45)+B46)+B47)+B48)+B49)+B50)+B51</f>
        <v>177710.92</v>
      </c>
      <c r="C52" s="14">
        <f>(((((((C44)+C45)+C46)+C47)+C48)+C49)+C50)+C51</f>
        <v>204828</v>
      </c>
      <c r="D52" s="15">
        <f t="shared" si="2"/>
        <v>-27117.079999999987</v>
      </c>
      <c r="E52" s="16">
        <f t="shared" si="3"/>
        <v>0.86761048294178533</v>
      </c>
    </row>
    <row r="53" spans="1:5" x14ac:dyDescent="0.15">
      <c r="A53" s="12" t="s">
        <v>37</v>
      </c>
      <c r="B53" s="10">
        <f>21287.24</f>
        <v>21287.24</v>
      </c>
      <c r="C53" s="10"/>
      <c r="D53" s="10">
        <f t="shared" si="2"/>
        <v>21287.24</v>
      </c>
      <c r="E53" s="11" t="str">
        <f t="shared" si="3"/>
        <v/>
      </c>
    </row>
    <row r="54" spans="1:5" x14ac:dyDescent="0.15">
      <c r="A54" s="12" t="s">
        <v>110</v>
      </c>
      <c r="B54" s="10">
        <f>12180.3</f>
        <v>12180.3</v>
      </c>
      <c r="C54" s="10"/>
      <c r="D54" s="10">
        <f t="shared" si="2"/>
        <v>12180.3</v>
      </c>
      <c r="E54" s="11" t="str">
        <f t="shared" si="3"/>
        <v/>
      </c>
    </row>
    <row r="55" spans="1:5" x14ac:dyDescent="0.15">
      <c r="A55" s="12" t="s">
        <v>38</v>
      </c>
      <c r="B55" s="10">
        <f>5073.05</f>
        <v>5073.05</v>
      </c>
      <c r="C55" s="10"/>
      <c r="D55" s="10">
        <f t="shared" ref="D55:D86" si="4">(B55)-C55</f>
        <v>5073.05</v>
      </c>
      <c r="E55" s="11" t="str">
        <f t="shared" ref="E55:E86" si="5">IF(C55=0,"",(B55)/C55)</f>
        <v/>
      </c>
    </row>
    <row r="56" spans="1:5" x14ac:dyDescent="0.15">
      <c r="A56" s="12" t="s">
        <v>39</v>
      </c>
      <c r="B56" s="14">
        <f>((B53)+B54)+B55</f>
        <v>38540.590000000004</v>
      </c>
      <c r="C56" s="14">
        <f>((C53)+C54)+C55</f>
        <v>0</v>
      </c>
      <c r="D56" s="14">
        <f t="shared" si="4"/>
        <v>38540.590000000004</v>
      </c>
      <c r="E56" s="16" t="str">
        <f t="shared" si="5"/>
        <v/>
      </c>
    </row>
    <row r="57" spans="1:5" x14ac:dyDescent="0.15">
      <c r="A57" s="12" t="s">
        <v>40</v>
      </c>
      <c r="B57" s="10">
        <f>9174.37</f>
        <v>9174.3700000000008</v>
      </c>
      <c r="C57" s="10"/>
      <c r="D57" s="10">
        <f t="shared" si="4"/>
        <v>9174.3700000000008</v>
      </c>
      <c r="E57" s="11" t="str">
        <f t="shared" si="5"/>
        <v/>
      </c>
    </row>
    <row r="58" spans="1:5" x14ac:dyDescent="0.15">
      <c r="A58" s="12" t="s">
        <v>41</v>
      </c>
      <c r="B58" s="10">
        <f>933.7</f>
        <v>933.7</v>
      </c>
      <c r="C58" s="10"/>
      <c r="D58" s="10">
        <f t="shared" si="4"/>
        <v>933.7</v>
      </c>
      <c r="E58" s="11" t="str">
        <f t="shared" si="5"/>
        <v/>
      </c>
    </row>
    <row r="59" spans="1:5" x14ac:dyDescent="0.15">
      <c r="A59" s="12" t="s">
        <v>42</v>
      </c>
      <c r="B59" s="10">
        <f>7077.41</f>
        <v>7077.41</v>
      </c>
      <c r="C59" s="10"/>
      <c r="D59" s="10">
        <f t="shared" si="4"/>
        <v>7077.41</v>
      </c>
      <c r="E59" s="11" t="str">
        <f t="shared" si="5"/>
        <v/>
      </c>
    </row>
    <row r="60" spans="1:5" x14ac:dyDescent="0.15">
      <c r="A60" s="12" t="s">
        <v>43</v>
      </c>
      <c r="B60" s="10">
        <f>734</f>
        <v>734</v>
      </c>
      <c r="C60" s="10">
        <f>9000</f>
        <v>9000</v>
      </c>
      <c r="D60" s="13">
        <f t="shared" si="4"/>
        <v>-8266</v>
      </c>
      <c r="E60" s="11">
        <f t="shared" si="5"/>
        <v>8.1555555555555562E-2</v>
      </c>
    </row>
    <row r="61" spans="1:5" x14ac:dyDescent="0.15">
      <c r="A61" s="12" t="s">
        <v>44</v>
      </c>
      <c r="B61" s="10">
        <f>7163.32</f>
        <v>7163.32</v>
      </c>
      <c r="C61" s="10">
        <f>13950</f>
        <v>13950</v>
      </c>
      <c r="D61" s="13">
        <f t="shared" si="4"/>
        <v>-6786.68</v>
      </c>
      <c r="E61" s="11">
        <f t="shared" si="5"/>
        <v>0.51349964157706096</v>
      </c>
    </row>
    <row r="62" spans="1:5" x14ac:dyDescent="0.15">
      <c r="A62" s="12" t="s">
        <v>45</v>
      </c>
      <c r="B62" s="10">
        <f>5000</f>
        <v>5000</v>
      </c>
      <c r="C62" s="10">
        <f>0</f>
        <v>0</v>
      </c>
      <c r="D62" s="10">
        <f t="shared" si="4"/>
        <v>5000</v>
      </c>
      <c r="E62" s="11" t="str">
        <f t="shared" si="5"/>
        <v/>
      </c>
    </row>
    <row r="63" spans="1:5" x14ac:dyDescent="0.15">
      <c r="A63" s="12" t="s">
        <v>46</v>
      </c>
      <c r="B63" s="10">
        <f>10533.23</f>
        <v>10533.23</v>
      </c>
      <c r="C63" s="10">
        <f>35851</f>
        <v>35851</v>
      </c>
      <c r="D63" s="13">
        <f t="shared" si="4"/>
        <v>-25317.77</v>
      </c>
      <c r="E63" s="11">
        <f t="shared" si="5"/>
        <v>0.29380575158294048</v>
      </c>
    </row>
    <row r="64" spans="1:5" x14ac:dyDescent="0.15">
      <c r="A64" s="12" t="s">
        <v>47</v>
      </c>
      <c r="B64" s="10">
        <f>7873.76</f>
        <v>7873.76</v>
      </c>
      <c r="C64" s="10">
        <f>8796</f>
        <v>8796</v>
      </c>
      <c r="D64" s="13">
        <f t="shared" si="4"/>
        <v>-922.23999999999978</v>
      </c>
      <c r="E64" s="11">
        <f t="shared" si="5"/>
        <v>0.89515234197362437</v>
      </c>
    </row>
    <row r="65" spans="1:5" x14ac:dyDescent="0.15">
      <c r="A65" s="12" t="s">
        <v>48</v>
      </c>
      <c r="B65" s="10">
        <f>4297.15</f>
        <v>4297.1499999999996</v>
      </c>
      <c r="C65" s="10">
        <f>1524</f>
        <v>1524</v>
      </c>
      <c r="D65" s="10">
        <f t="shared" si="4"/>
        <v>2773.1499999999996</v>
      </c>
      <c r="E65" s="11">
        <f t="shared" si="5"/>
        <v>2.8196522309711285</v>
      </c>
    </row>
    <row r="66" spans="1:5" x14ac:dyDescent="0.15">
      <c r="A66" s="12" t="s">
        <v>49</v>
      </c>
      <c r="B66" s="10">
        <f>4222</f>
        <v>4222</v>
      </c>
      <c r="C66" s="10">
        <f>3996</f>
        <v>3996</v>
      </c>
      <c r="D66" s="10">
        <f t="shared" si="4"/>
        <v>226</v>
      </c>
      <c r="E66" s="11">
        <f t="shared" si="5"/>
        <v>1.0565565565565564</v>
      </c>
    </row>
    <row r="67" spans="1:5" x14ac:dyDescent="0.15">
      <c r="A67" s="12" t="s">
        <v>50</v>
      </c>
      <c r="B67" s="10">
        <f>34708.71</f>
        <v>34708.71</v>
      </c>
      <c r="C67" s="10">
        <f>17160</f>
        <v>17160</v>
      </c>
      <c r="D67" s="10">
        <f t="shared" si="4"/>
        <v>17548.71</v>
      </c>
      <c r="E67" s="11">
        <f t="shared" si="5"/>
        <v>2.0226520979020979</v>
      </c>
    </row>
    <row r="68" spans="1:5" x14ac:dyDescent="0.15">
      <c r="A68" s="12" t="s">
        <v>51</v>
      </c>
      <c r="B68" s="10">
        <f>15282.25</f>
        <v>15282.25</v>
      </c>
      <c r="C68" s="10">
        <f>5400</f>
        <v>5400</v>
      </c>
      <c r="D68" s="10">
        <f t="shared" si="4"/>
        <v>9882.25</v>
      </c>
      <c r="E68" s="11">
        <f t="shared" si="5"/>
        <v>2.8300462962962962</v>
      </c>
    </row>
    <row r="69" spans="1:5" x14ac:dyDescent="0.15">
      <c r="A69" s="12" t="s">
        <v>52</v>
      </c>
      <c r="B69" s="10">
        <f>750</f>
        <v>750</v>
      </c>
      <c r="C69" s="10"/>
      <c r="D69" s="10">
        <f t="shared" si="4"/>
        <v>750</v>
      </c>
      <c r="E69" s="11" t="str">
        <f t="shared" si="5"/>
        <v/>
      </c>
    </row>
    <row r="70" spans="1:5" x14ac:dyDescent="0.15">
      <c r="A70" s="12" t="s">
        <v>53</v>
      </c>
      <c r="B70" s="14">
        <f>((((B65)+B66)+B67)+B68)+B69</f>
        <v>59260.11</v>
      </c>
      <c r="C70" s="14">
        <f>((((C65)+C66)+C67)+C68)+C69</f>
        <v>28080</v>
      </c>
      <c r="D70" s="14">
        <f t="shared" si="4"/>
        <v>31180.11</v>
      </c>
      <c r="E70" s="16">
        <f t="shared" si="5"/>
        <v>2.1104027777777778</v>
      </c>
    </row>
    <row r="71" spans="1:5" x14ac:dyDescent="0.15">
      <c r="A71" s="12" t="s">
        <v>54</v>
      </c>
      <c r="B71" s="10">
        <f>206687.19</f>
        <v>206687.19</v>
      </c>
      <c r="C71" s="10">
        <f>179508</f>
        <v>179508</v>
      </c>
      <c r="D71" s="10">
        <f t="shared" si="4"/>
        <v>27179.190000000002</v>
      </c>
      <c r="E71" s="11">
        <f t="shared" si="5"/>
        <v>1.1514093522294271</v>
      </c>
    </row>
    <row r="72" spans="1:5" x14ac:dyDescent="0.15">
      <c r="A72" s="12" t="s">
        <v>55</v>
      </c>
      <c r="B72" s="10">
        <f>1505.06</f>
        <v>1505.06</v>
      </c>
      <c r="C72" s="10">
        <f>1800</f>
        <v>1800</v>
      </c>
      <c r="D72" s="13">
        <f t="shared" si="4"/>
        <v>-294.94000000000005</v>
      </c>
      <c r="E72" s="11">
        <f t="shared" si="5"/>
        <v>0.83614444444444447</v>
      </c>
    </row>
    <row r="73" spans="1:5" x14ac:dyDescent="0.15">
      <c r="A73" s="12" t="s">
        <v>56</v>
      </c>
      <c r="B73" s="10">
        <f>5214.05</f>
        <v>5214.05</v>
      </c>
      <c r="C73" s="10">
        <f>5832</f>
        <v>5832</v>
      </c>
      <c r="D73" s="13">
        <f t="shared" si="4"/>
        <v>-617.94999999999982</v>
      </c>
      <c r="E73" s="11">
        <f t="shared" si="5"/>
        <v>0.89404149519890264</v>
      </c>
    </row>
    <row r="74" spans="1:5" x14ac:dyDescent="0.15">
      <c r="A74" s="12" t="s">
        <v>57</v>
      </c>
      <c r="B74" s="10">
        <f>2074.56</f>
        <v>2074.56</v>
      </c>
      <c r="C74" s="10"/>
      <c r="D74" s="10">
        <f t="shared" si="4"/>
        <v>2074.56</v>
      </c>
      <c r="E74" s="11" t="str">
        <f t="shared" si="5"/>
        <v/>
      </c>
    </row>
    <row r="75" spans="1:5" x14ac:dyDescent="0.15">
      <c r="A75" s="12" t="s">
        <v>111</v>
      </c>
      <c r="B75" s="10">
        <f>7691.74</f>
        <v>7691.74</v>
      </c>
      <c r="C75" s="10"/>
      <c r="D75" s="10">
        <f t="shared" si="4"/>
        <v>7691.74</v>
      </c>
      <c r="E75" s="11" t="str">
        <f t="shared" si="5"/>
        <v/>
      </c>
    </row>
    <row r="76" spans="1:5" x14ac:dyDescent="0.15">
      <c r="A76" s="12" t="s">
        <v>58</v>
      </c>
      <c r="B76" s="8"/>
      <c r="C76" s="8"/>
      <c r="D76" s="10">
        <f t="shared" si="4"/>
        <v>0</v>
      </c>
      <c r="E76" s="11" t="str">
        <f t="shared" si="5"/>
        <v/>
      </c>
    </row>
    <row r="77" spans="1:5" x14ac:dyDescent="0.15">
      <c r="A77" s="12" t="s">
        <v>59</v>
      </c>
      <c r="B77" s="10">
        <f>476.41</f>
        <v>476.41</v>
      </c>
      <c r="C77" s="10"/>
      <c r="D77" s="10">
        <f t="shared" si="4"/>
        <v>476.41</v>
      </c>
      <c r="E77" s="11" t="str">
        <f t="shared" si="5"/>
        <v/>
      </c>
    </row>
    <row r="78" spans="1:5" x14ac:dyDescent="0.15">
      <c r="A78" s="12" t="s">
        <v>60</v>
      </c>
      <c r="B78" s="10">
        <f>594.49</f>
        <v>594.49</v>
      </c>
      <c r="C78" s="10"/>
      <c r="D78" s="10">
        <f t="shared" si="4"/>
        <v>594.49</v>
      </c>
      <c r="E78" s="11" t="str">
        <f t="shared" si="5"/>
        <v/>
      </c>
    </row>
    <row r="79" spans="1:5" x14ac:dyDescent="0.15">
      <c r="A79" s="12" t="s">
        <v>61</v>
      </c>
      <c r="B79" s="8"/>
      <c r="C79" s="10">
        <f>1200</f>
        <v>1200</v>
      </c>
      <c r="D79" s="13">
        <f t="shared" si="4"/>
        <v>-1200</v>
      </c>
      <c r="E79" s="11">
        <f t="shared" si="5"/>
        <v>0</v>
      </c>
    </row>
    <row r="80" spans="1:5" x14ac:dyDescent="0.15">
      <c r="A80" s="12" t="s">
        <v>62</v>
      </c>
      <c r="B80" s="14">
        <f>(((B76)+B77)+B78)+B79</f>
        <v>1070.9000000000001</v>
      </c>
      <c r="C80" s="14">
        <f>(((C76)+C77)+C78)+C79</f>
        <v>1200</v>
      </c>
      <c r="D80" s="15">
        <f t="shared" si="4"/>
        <v>-129.09999999999991</v>
      </c>
      <c r="E80" s="16">
        <f t="shared" si="5"/>
        <v>0.89241666666666675</v>
      </c>
    </row>
    <row r="81" spans="1:5" x14ac:dyDescent="0.15">
      <c r="A81" s="12" t="s">
        <v>63</v>
      </c>
      <c r="B81" s="10">
        <f>48656.03</f>
        <v>48656.03</v>
      </c>
      <c r="C81" s="10">
        <f>58920</f>
        <v>58920</v>
      </c>
      <c r="D81" s="13">
        <f t="shared" si="4"/>
        <v>-10263.970000000001</v>
      </c>
      <c r="E81" s="11">
        <f t="shared" si="5"/>
        <v>0.82579820095044121</v>
      </c>
    </row>
    <row r="82" spans="1:5" x14ac:dyDescent="0.15">
      <c r="A82" s="12" t="s">
        <v>64</v>
      </c>
      <c r="B82" s="10">
        <f>5649.57</f>
        <v>5649.57</v>
      </c>
      <c r="C82" s="10">
        <f>11112</f>
        <v>11112</v>
      </c>
      <c r="D82" s="13">
        <f t="shared" si="4"/>
        <v>-5462.43</v>
      </c>
      <c r="E82" s="11">
        <f t="shared" si="5"/>
        <v>0.50842062634989194</v>
      </c>
    </row>
    <row r="83" spans="1:5" x14ac:dyDescent="0.15">
      <c r="A83" s="12" t="s">
        <v>65</v>
      </c>
      <c r="B83" s="10">
        <f>8026.5</f>
        <v>8026.5</v>
      </c>
      <c r="C83" s="10"/>
      <c r="D83" s="10">
        <f t="shared" si="4"/>
        <v>8026.5</v>
      </c>
      <c r="E83" s="11" t="str">
        <f t="shared" si="5"/>
        <v/>
      </c>
    </row>
    <row r="84" spans="1:5" x14ac:dyDescent="0.15">
      <c r="A84" s="12" t="s">
        <v>66</v>
      </c>
      <c r="B84" s="10">
        <f>4014.21</f>
        <v>4014.21</v>
      </c>
      <c r="C84" s="10">
        <f>11136</f>
        <v>11136</v>
      </c>
      <c r="D84" s="13">
        <f t="shared" si="4"/>
        <v>-7121.79</v>
      </c>
      <c r="E84" s="11">
        <f t="shared" si="5"/>
        <v>0.36047144396551722</v>
      </c>
    </row>
    <row r="85" spans="1:5" x14ac:dyDescent="0.15">
      <c r="A85" s="12" t="s">
        <v>67</v>
      </c>
      <c r="B85" s="10">
        <f>578.24</f>
        <v>578.24</v>
      </c>
      <c r="C85" s="10">
        <f>5496</f>
        <v>5496</v>
      </c>
      <c r="D85" s="13">
        <f t="shared" si="4"/>
        <v>-4917.76</v>
      </c>
      <c r="E85" s="11">
        <f t="shared" si="5"/>
        <v>0.10521106259097526</v>
      </c>
    </row>
    <row r="86" spans="1:5" x14ac:dyDescent="0.15">
      <c r="A86" s="12" t="s">
        <v>68</v>
      </c>
      <c r="B86" s="14">
        <f>((B83)+B84)+B85</f>
        <v>12618.949999999999</v>
      </c>
      <c r="C86" s="14">
        <f>((C83)+C84)+C85</f>
        <v>16632</v>
      </c>
      <c r="D86" s="15">
        <f t="shared" si="4"/>
        <v>-4013.0500000000011</v>
      </c>
      <c r="E86" s="16">
        <f t="shared" si="5"/>
        <v>0.75871512746512737</v>
      </c>
    </row>
    <row r="87" spans="1:5" x14ac:dyDescent="0.15">
      <c r="A87" s="12" t="s">
        <v>69</v>
      </c>
      <c r="B87" s="8"/>
      <c r="C87" s="8"/>
      <c r="D87" s="10">
        <f t="shared" ref="D87:D115" si="6">(B87)-C87</f>
        <v>0</v>
      </c>
      <c r="E87" s="11" t="str">
        <f t="shared" ref="E87:E115" si="7">IF(C87=0,"",(B87)/C87)</f>
        <v/>
      </c>
    </row>
    <row r="88" spans="1:5" x14ac:dyDescent="0.15">
      <c r="A88" s="12" t="s">
        <v>70</v>
      </c>
      <c r="B88" s="10">
        <f>1011.39</f>
        <v>1011.39</v>
      </c>
      <c r="C88" s="10">
        <f>1800</f>
        <v>1800</v>
      </c>
      <c r="D88" s="13">
        <f t="shared" si="6"/>
        <v>-788.61</v>
      </c>
      <c r="E88" s="11">
        <f t="shared" si="7"/>
        <v>0.56188333333333329</v>
      </c>
    </row>
    <row r="89" spans="1:5" x14ac:dyDescent="0.15">
      <c r="A89" s="12" t="s">
        <v>71</v>
      </c>
      <c r="B89" s="10">
        <f>2038.62</f>
        <v>2038.62</v>
      </c>
      <c r="C89" s="10">
        <f>1200</f>
        <v>1200</v>
      </c>
      <c r="D89" s="10">
        <f t="shared" si="6"/>
        <v>838.61999999999989</v>
      </c>
      <c r="E89" s="11">
        <f t="shared" si="7"/>
        <v>1.69885</v>
      </c>
    </row>
    <row r="90" spans="1:5" x14ac:dyDescent="0.15">
      <c r="A90" s="12" t="s">
        <v>72</v>
      </c>
      <c r="B90" s="14">
        <f>((B87)+B88)+B89</f>
        <v>3050.0099999999998</v>
      </c>
      <c r="C90" s="14">
        <f>((C87)+C88)+C89</f>
        <v>3000</v>
      </c>
      <c r="D90" s="14">
        <f t="shared" si="6"/>
        <v>50.009999999999764</v>
      </c>
      <c r="E90" s="16">
        <f t="shared" si="7"/>
        <v>1.01667</v>
      </c>
    </row>
    <row r="91" spans="1:5" x14ac:dyDescent="0.15">
      <c r="A91" s="12" t="s">
        <v>73</v>
      </c>
      <c r="B91" s="10">
        <f>12224.49</f>
        <v>12224.49</v>
      </c>
      <c r="C91" s="10">
        <f>2400</f>
        <v>2400</v>
      </c>
      <c r="D91" s="10">
        <f t="shared" si="6"/>
        <v>9824.49</v>
      </c>
      <c r="E91" s="11">
        <f t="shared" si="7"/>
        <v>5.0935375000000001</v>
      </c>
    </row>
    <row r="92" spans="1:5" x14ac:dyDescent="0.15">
      <c r="A92" s="12" t="s">
        <v>74</v>
      </c>
      <c r="B92" s="10">
        <f>40</f>
        <v>40</v>
      </c>
      <c r="C92" s="10">
        <f>552</f>
        <v>552</v>
      </c>
      <c r="D92" s="13">
        <f t="shared" si="6"/>
        <v>-512</v>
      </c>
      <c r="E92" s="11">
        <f t="shared" si="7"/>
        <v>7.2463768115942032E-2</v>
      </c>
    </row>
    <row r="93" spans="1:5" x14ac:dyDescent="0.15">
      <c r="A93" s="12" t="s">
        <v>75</v>
      </c>
      <c r="B93" s="10">
        <f>29893.88</f>
        <v>29893.88</v>
      </c>
      <c r="C93" s="10">
        <f>22140</f>
        <v>22140</v>
      </c>
      <c r="D93" s="10">
        <f t="shared" si="6"/>
        <v>7753.880000000001</v>
      </c>
      <c r="E93" s="11">
        <f t="shared" si="7"/>
        <v>1.3502204155374888</v>
      </c>
    </row>
    <row r="94" spans="1:5" x14ac:dyDescent="0.15">
      <c r="A94" s="12" t="s">
        <v>76</v>
      </c>
      <c r="B94" s="10">
        <f>1500</f>
        <v>1500</v>
      </c>
      <c r="C94" s="10">
        <f>24480</f>
        <v>24480</v>
      </c>
      <c r="D94" s="13">
        <f t="shared" si="6"/>
        <v>-22980</v>
      </c>
      <c r="E94" s="11">
        <f t="shared" si="7"/>
        <v>6.1274509803921566E-2</v>
      </c>
    </row>
    <row r="95" spans="1:5" x14ac:dyDescent="0.15">
      <c r="A95" s="12" t="s">
        <v>77</v>
      </c>
      <c r="B95" s="10">
        <f>52.68</f>
        <v>52.68</v>
      </c>
      <c r="C95" s="10">
        <f>2868</f>
        <v>2868</v>
      </c>
      <c r="D95" s="13">
        <f t="shared" si="6"/>
        <v>-2815.32</v>
      </c>
      <c r="E95" s="11">
        <f t="shared" si="7"/>
        <v>1.8368200836820083E-2</v>
      </c>
    </row>
    <row r="96" spans="1:5" x14ac:dyDescent="0.15">
      <c r="A96" s="12" t="s">
        <v>78</v>
      </c>
      <c r="B96" s="8"/>
      <c r="C96" s="8"/>
      <c r="D96" s="10">
        <f t="shared" si="6"/>
        <v>0</v>
      </c>
      <c r="E96" s="11" t="str">
        <f t="shared" si="7"/>
        <v/>
      </c>
    </row>
    <row r="97" spans="1:5" x14ac:dyDescent="0.15">
      <c r="A97" s="12" t="s">
        <v>79</v>
      </c>
      <c r="B97" s="10">
        <f>322</f>
        <v>322</v>
      </c>
      <c r="C97" s="10"/>
      <c r="D97" s="10">
        <f t="shared" si="6"/>
        <v>322</v>
      </c>
      <c r="E97" s="11" t="str">
        <f t="shared" si="7"/>
        <v/>
      </c>
    </row>
    <row r="98" spans="1:5" x14ac:dyDescent="0.15">
      <c r="A98" s="12" t="s">
        <v>80</v>
      </c>
      <c r="B98" s="10">
        <f>78229.32</f>
        <v>78229.320000000007</v>
      </c>
      <c r="C98" s="10">
        <f>50124</f>
        <v>50124</v>
      </c>
      <c r="D98" s="10">
        <f t="shared" si="6"/>
        <v>28105.320000000007</v>
      </c>
      <c r="E98" s="11">
        <f t="shared" si="7"/>
        <v>1.5607158247546087</v>
      </c>
    </row>
    <row r="99" spans="1:5" x14ac:dyDescent="0.15">
      <c r="A99" s="12" t="s">
        <v>81</v>
      </c>
      <c r="B99" s="10">
        <f>13349.59</f>
        <v>13349.59</v>
      </c>
      <c r="C99" s="10">
        <f>18036</f>
        <v>18036</v>
      </c>
      <c r="D99" s="13">
        <f t="shared" si="6"/>
        <v>-4686.41</v>
      </c>
      <c r="E99" s="11">
        <f t="shared" si="7"/>
        <v>0.74016356176535814</v>
      </c>
    </row>
    <row r="100" spans="1:5" x14ac:dyDescent="0.15">
      <c r="A100" s="12" t="s">
        <v>82</v>
      </c>
      <c r="B100" s="14">
        <f>(((B96)+B97)+B98)+B99</f>
        <v>91900.91</v>
      </c>
      <c r="C100" s="14">
        <f>(((C96)+C97)+C98)+C99</f>
        <v>68160</v>
      </c>
      <c r="D100" s="14">
        <f t="shared" si="6"/>
        <v>23740.910000000003</v>
      </c>
      <c r="E100" s="16">
        <f t="shared" si="7"/>
        <v>1.3483114730046948</v>
      </c>
    </row>
    <row r="101" spans="1:5" x14ac:dyDescent="0.15">
      <c r="A101" s="12" t="s">
        <v>83</v>
      </c>
      <c r="B101" s="10">
        <f>831.3</f>
        <v>831.3</v>
      </c>
      <c r="C101" s="10">
        <f>5400</f>
        <v>5400</v>
      </c>
      <c r="D101" s="13">
        <f t="shared" si="6"/>
        <v>-4568.7</v>
      </c>
      <c r="E101" s="11">
        <f t="shared" si="7"/>
        <v>0.15394444444444444</v>
      </c>
    </row>
    <row r="102" spans="1:5" x14ac:dyDescent="0.15">
      <c r="A102" s="12" t="s">
        <v>112</v>
      </c>
      <c r="B102" s="10">
        <f>495</f>
        <v>495</v>
      </c>
      <c r="C102" s="10">
        <f>1800</f>
        <v>1800</v>
      </c>
      <c r="D102" s="13">
        <f t="shared" si="6"/>
        <v>-1305</v>
      </c>
      <c r="E102" s="11">
        <f t="shared" si="7"/>
        <v>0.27500000000000002</v>
      </c>
    </row>
    <row r="103" spans="1:5" x14ac:dyDescent="0.15">
      <c r="A103" s="12" t="s">
        <v>84</v>
      </c>
      <c r="B103" s="8"/>
      <c r="C103" s="8"/>
      <c r="D103" s="10">
        <f t="shared" si="6"/>
        <v>0</v>
      </c>
      <c r="E103" s="11" t="str">
        <f t="shared" si="7"/>
        <v/>
      </c>
    </row>
    <row r="104" spans="1:5" x14ac:dyDescent="0.15">
      <c r="A104" s="12" t="s">
        <v>85</v>
      </c>
      <c r="B104" s="10">
        <f>6231.46</f>
        <v>6231.46</v>
      </c>
      <c r="C104" s="10"/>
      <c r="D104" s="10">
        <f t="shared" si="6"/>
        <v>6231.46</v>
      </c>
      <c r="E104" s="11" t="str">
        <f t="shared" si="7"/>
        <v/>
      </c>
    </row>
    <row r="105" spans="1:5" x14ac:dyDescent="0.15">
      <c r="A105" s="12" t="s">
        <v>86</v>
      </c>
      <c r="B105" s="10">
        <f>2779.89</f>
        <v>2779.89</v>
      </c>
      <c r="C105" s="10">
        <f>1968</f>
        <v>1968</v>
      </c>
      <c r="D105" s="10">
        <f t="shared" si="6"/>
        <v>811.88999999999987</v>
      </c>
      <c r="E105" s="11">
        <f t="shared" si="7"/>
        <v>1.4125457317073169</v>
      </c>
    </row>
    <row r="106" spans="1:5" x14ac:dyDescent="0.15">
      <c r="A106" s="12" t="s">
        <v>87</v>
      </c>
      <c r="B106" s="14">
        <f>((B103)+B104)+B105</f>
        <v>9011.35</v>
      </c>
      <c r="C106" s="14">
        <f>((C103)+C104)+C105</f>
        <v>1968</v>
      </c>
      <c r="D106" s="14">
        <f t="shared" si="6"/>
        <v>7043.35</v>
      </c>
      <c r="E106" s="16">
        <f t="shared" si="7"/>
        <v>4.5789380081300814</v>
      </c>
    </row>
    <row r="107" spans="1:5" x14ac:dyDescent="0.15">
      <c r="A107" s="12" t="s">
        <v>88</v>
      </c>
      <c r="B107" s="8"/>
      <c r="C107" s="10">
        <f>616674</f>
        <v>616674</v>
      </c>
      <c r="D107" s="13">
        <f t="shared" si="6"/>
        <v>-616674</v>
      </c>
      <c r="E107" s="11">
        <f t="shared" si="7"/>
        <v>0</v>
      </c>
    </row>
    <row r="108" spans="1:5" x14ac:dyDescent="0.15">
      <c r="A108" s="12" t="s">
        <v>113</v>
      </c>
      <c r="B108" s="10">
        <f>122523.09</f>
        <v>122523.09</v>
      </c>
      <c r="C108" s="10"/>
      <c r="D108" s="10">
        <f t="shared" si="6"/>
        <v>122523.09</v>
      </c>
      <c r="E108" s="11" t="str">
        <f t="shared" si="7"/>
        <v/>
      </c>
    </row>
    <row r="109" spans="1:5" x14ac:dyDescent="0.15">
      <c r="A109" s="12" t="s">
        <v>114</v>
      </c>
      <c r="B109" s="10">
        <f>165950.95</f>
        <v>165950.95000000001</v>
      </c>
      <c r="C109" s="10"/>
      <c r="D109" s="10">
        <f t="shared" si="6"/>
        <v>165950.95000000001</v>
      </c>
      <c r="E109" s="11" t="str">
        <f t="shared" si="7"/>
        <v/>
      </c>
    </row>
    <row r="110" spans="1:5" x14ac:dyDescent="0.15">
      <c r="A110" s="12" t="s">
        <v>115</v>
      </c>
      <c r="B110" s="10">
        <f>151394.75</f>
        <v>151394.75</v>
      </c>
      <c r="C110" s="10">
        <f>16121</f>
        <v>16121</v>
      </c>
      <c r="D110" s="10">
        <f t="shared" si="6"/>
        <v>135273.75</v>
      </c>
      <c r="E110" s="11">
        <f t="shared" si="7"/>
        <v>9.3911512933440857</v>
      </c>
    </row>
    <row r="111" spans="1:5" x14ac:dyDescent="0.15">
      <c r="A111" s="12" t="s">
        <v>116</v>
      </c>
      <c r="B111" s="10">
        <f>110481.37</f>
        <v>110481.37</v>
      </c>
      <c r="C111" s="10"/>
      <c r="D111" s="10">
        <f t="shared" si="6"/>
        <v>110481.37</v>
      </c>
      <c r="E111" s="11" t="str">
        <f t="shared" si="7"/>
        <v/>
      </c>
    </row>
    <row r="112" spans="1:5" x14ac:dyDescent="0.15">
      <c r="A112" s="12" t="s">
        <v>89</v>
      </c>
      <c r="B112" s="14">
        <f>((((B107)+B108)+B109)+B110)+B111</f>
        <v>550350.16</v>
      </c>
      <c r="C112" s="14">
        <f>((((C107)+C108)+C109)+C110)+C111</f>
        <v>632795</v>
      </c>
      <c r="D112" s="15">
        <f t="shared" si="6"/>
        <v>-82444.839999999967</v>
      </c>
      <c r="E112" s="16">
        <f t="shared" si="7"/>
        <v>0.86971319305620309</v>
      </c>
    </row>
    <row r="113" spans="1:5" hidden="1" x14ac:dyDescent="0.15">
      <c r="A113" s="12" t="s">
        <v>90</v>
      </c>
      <c r="B113" s="10">
        <f>0</f>
        <v>0</v>
      </c>
      <c r="C113" s="10"/>
      <c r="D113" s="10">
        <f t="shared" si="6"/>
        <v>0</v>
      </c>
      <c r="E113" s="11" t="str">
        <f t="shared" si="7"/>
        <v/>
      </c>
    </row>
    <row r="114" spans="1:5" x14ac:dyDescent="0.15">
      <c r="A114" s="12" t="s">
        <v>91</v>
      </c>
      <c r="B114" s="14">
        <f>((((((((((((((((((((((((((((((((((((((((((((((((((((B23)+B24)+B25)+B26)+B27)+B28)+B29)+B30)+B31)+B32)+B33)+B34)+B35)+B36)+B37)+B38)+B39)+B40)+B41)+B42)+B43)+B52)+B56)+B57)+B58)+B59)+B60)+B61)+B62)+B63)+B64)+B70)+B71)+B72)+B73)+B74)+B75)+B80)+B81)+B82)+B86)+B90)+B91)+B92)+B93)+B94)+B95)+B100)+B101)+B102)+B106)+B112)+B113</f>
        <v>3097072.5000000005</v>
      </c>
      <c r="C114" s="14">
        <f>((((((((((((((((((((((((((((((((((((((((((((((((((((C23)+C24)+C25)+C26)+C27)+C28)+C29)+C30)+C31)+C32)+C33)+C34)+C35)+C36)+C37)+C38)+C39)+C40)+C41)+C42)+C43)+C52)+C56)+C57)+C58)+C59)+C60)+C61)+C62)+C63)+C64)+C70)+C71)+C72)+C73)+C74)+C75)+C80)+C81)+C82)+C86)+C90)+C91)+C92)+C93)+C94)+C95)+C100)+C101)+C102)+C106)+C112)+C113</f>
        <v>3223791</v>
      </c>
      <c r="D114" s="15">
        <f t="shared" si="6"/>
        <v>-126718.49999999953</v>
      </c>
      <c r="E114" s="16">
        <f t="shared" si="7"/>
        <v>0.9606927061959043</v>
      </c>
    </row>
    <row r="115" spans="1:5" x14ac:dyDescent="0.15">
      <c r="A115" s="12" t="s">
        <v>92</v>
      </c>
      <c r="B115" s="14">
        <f>(B21)-B114</f>
        <v>175250.08000000007</v>
      </c>
      <c r="C115" s="14">
        <f>(C21)-C114</f>
        <v>265310</v>
      </c>
      <c r="D115" s="15">
        <f t="shared" si="6"/>
        <v>-90059.919999999925</v>
      </c>
      <c r="E115" s="16">
        <f t="shared" si="7"/>
        <v>0.66054833967811266</v>
      </c>
    </row>
  </sheetData>
  <mergeCells count="554">
    <mergeCell ref="E115"/>
    <mergeCell ref="A115"/>
    <mergeCell ref="B115"/>
    <mergeCell ref="C115"/>
    <mergeCell ref="D115"/>
    <mergeCell ref="A1:E1"/>
    <mergeCell ref="A2:E2"/>
    <mergeCell ref="A3:E3"/>
    <mergeCell ref="E113"/>
    <mergeCell ref="A114"/>
    <mergeCell ref="B114"/>
    <mergeCell ref="C114"/>
    <mergeCell ref="D114"/>
    <mergeCell ref="E114"/>
    <mergeCell ref="A113"/>
    <mergeCell ref="B113"/>
    <mergeCell ref="C113"/>
    <mergeCell ref="D113"/>
    <mergeCell ref="E111"/>
    <mergeCell ref="A112"/>
    <mergeCell ref="B112"/>
    <mergeCell ref="C112"/>
    <mergeCell ref="D112"/>
    <mergeCell ref="E112"/>
    <mergeCell ref="A111"/>
    <mergeCell ref="B111"/>
    <mergeCell ref="C111"/>
    <mergeCell ref="D111"/>
    <mergeCell ref="E109"/>
    <mergeCell ref="A110"/>
    <mergeCell ref="B110"/>
    <mergeCell ref="C110"/>
    <mergeCell ref="D110"/>
    <mergeCell ref="E110"/>
    <mergeCell ref="A109"/>
    <mergeCell ref="B109"/>
    <mergeCell ref="C109"/>
    <mergeCell ref="D109"/>
    <mergeCell ref="E107"/>
    <mergeCell ref="A108"/>
    <mergeCell ref="B108"/>
    <mergeCell ref="C108"/>
    <mergeCell ref="D108"/>
    <mergeCell ref="E108"/>
    <mergeCell ref="A107"/>
    <mergeCell ref="B107"/>
    <mergeCell ref="C107"/>
    <mergeCell ref="D107"/>
    <mergeCell ref="E105"/>
    <mergeCell ref="A106"/>
    <mergeCell ref="B106"/>
    <mergeCell ref="C106"/>
    <mergeCell ref="D106"/>
    <mergeCell ref="E106"/>
    <mergeCell ref="A105"/>
    <mergeCell ref="B105"/>
    <mergeCell ref="C105"/>
    <mergeCell ref="D105"/>
    <mergeCell ref="E103"/>
    <mergeCell ref="A104"/>
    <mergeCell ref="B104"/>
    <mergeCell ref="C104"/>
    <mergeCell ref="D104"/>
    <mergeCell ref="E104"/>
    <mergeCell ref="A103"/>
    <mergeCell ref="B103"/>
    <mergeCell ref="C103"/>
    <mergeCell ref="D103"/>
    <mergeCell ref="E101"/>
    <mergeCell ref="A102"/>
    <mergeCell ref="B102"/>
    <mergeCell ref="C102"/>
    <mergeCell ref="D102"/>
    <mergeCell ref="E102"/>
    <mergeCell ref="A101"/>
    <mergeCell ref="B101"/>
    <mergeCell ref="C101"/>
    <mergeCell ref="D101"/>
    <mergeCell ref="E99"/>
    <mergeCell ref="A100"/>
    <mergeCell ref="B100"/>
    <mergeCell ref="C100"/>
    <mergeCell ref="D100"/>
    <mergeCell ref="E100"/>
    <mergeCell ref="A99"/>
    <mergeCell ref="B99"/>
    <mergeCell ref="C99"/>
    <mergeCell ref="D99"/>
    <mergeCell ref="E97"/>
    <mergeCell ref="A98"/>
    <mergeCell ref="B98"/>
    <mergeCell ref="C98"/>
    <mergeCell ref="D98"/>
    <mergeCell ref="E98"/>
    <mergeCell ref="A97"/>
    <mergeCell ref="B97"/>
    <mergeCell ref="C97"/>
    <mergeCell ref="D97"/>
    <mergeCell ref="E95"/>
    <mergeCell ref="A96"/>
    <mergeCell ref="B96"/>
    <mergeCell ref="C96"/>
    <mergeCell ref="D96"/>
    <mergeCell ref="E96"/>
    <mergeCell ref="A95"/>
    <mergeCell ref="B95"/>
    <mergeCell ref="C95"/>
    <mergeCell ref="D95"/>
    <mergeCell ref="E93"/>
    <mergeCell ref="A94"/>
    <mergeCell ref="B94"/>
    <mergeCell ref="C94"/>
    <mergeCell ref="D94"/>
    <mergeCell ref="E94"/>
    <mergeCell ref="A93"/>
    <mergeCell ref="B93"/>
    <mergeCell ref="C93"/>
    <mergeCell ref="D93"/>
    <mergeCell ref="E91"/>
    <mergeCell ref="A92"/>
    <mergeCell ref="B92"/>
    <mergeCell ref="C92"/>
    <mergeCell ref="D92"/>
    <mergeCell ref="E92"/>
    <mergeCell ref="A91"/>
    <mergeCell ref="B91"/>
    <mergeCell ref="C91"/>
    <mergeCell ref="D91"/>
    <mergeCell ref="E89"/>
    <mergeCell ref="A90"/>
    <mergeCell ref="B90"/>
    <mergeCell ref="C90"/>
    <mergeCell ref="D90"/>
    <mergeCell ref="E90"/>
    <mergeCell ref="A89"/>
    <mergeCell ref="B89"/>
    <mergeCell ref="C89"/>
    <mergeCell ref="D89"/>
    <mergeCell ref="E87"/>
    <mergeCell ref="A88"/>
    <mergeCell ref="B88"/>
    <mergeCell ref="C88"/>
    <mergeCell ref="D88"/>
    <mergeCell ref="E88"/>
    <mergeCell ref="A87"/>
    <mergeCell ref="B87"/>
    <mergeCell ref="C87"/>
    <mergeCell ref="D87"/>
    <mergeCell ref="E85"/>
    <mergeCell ref="A86"/>
    <mergeCell ref="B86"/>
    <mergeCell ref="C86"/>
    <mergeCell ref="D86"/>
    <mergeCell ref="E86"/>
    <mergeCell ref="A85"/>
    <mergeCell ref="B85"/>
    <mergeCell ref="C85"/>
    <mergeCell ref="D85"/>
    <mergeCell ref="E83"/>
    <mergeCell ref="A84"/>
    <mergeCell ref="B84"/>
    <mergeCell ref="C84"/>
    <mergeCell ref="D84"/>
    <mergeCell ref="E84"/>
    <mergeCell ref="A83"/>
    <mergeCell ref="B83"/>
    <mergeCell ref="C83"/>
    <mergeCell ref="D83"/>
    <mergeCell ref="E81"/>
    <mergeCell ref="A82"/>
    <mergeCell ref="B82"/>
    <mergeCell ref="C82"/>
    <mergeCell ref="D82"/>
    <mergeCell ref="E82"/>
    <mergeCell ref="A81"/>
    <mergeCell ref="B81"/>
    <mergeCell ref="C81"/>
    <mergeCell ref="D81"/>
    <mergeCell ref="E79"/>
    <mergeCell ref="A80"/>
    <mergeCell ref="B80"/>
    <mergeCell ref="C80"/>
    <mergeCell ref="D80"/>
    <mergeCell ref="E80"/>
    <mergeCell ref="A79"/>
    <mergeCell ref="B79"/>
    <mergeCell ref="C79"/>
    <mergeCell ref="D79"/>
    <mergeCell ref="E77"/>
    <mergeCell ref="A78"/>
    <mergeCell ref="B78"/>
    <mergeCell ref="C78"/>
    <mergeCell ref="D78"/>
    <mergeCell ref="E78"/>
    <mergeCell ref="A77"/>
    <mergeCell ref="B77"/>
    <mergeCell ref="C77"/>
    <mergeCell ref="D77"/>
    <mergeCell ref="E75"/>
    <mergeCell ref="A76"/>
    <mergeCell ref="B76"/>
    <mergeCell ref="C76"/>
    <mergeCell ref="D76"/>
    <mergeCell ref="E76"/>
    <mergeCell ref="A75"/>
    <mergeCell ref="B75"/>
    <mergeCell ref="C75"/>
    <mergeCell ref="D75"/>
    <mergeCell ref="E73"/>
    <mergeCell ref="A74"/>
    <mergeCell ref="B74"/>
    <mergeCell ref="C74"/>
    <mergeCell ref="D74"/>
    <mergeCell ref="E74"/>
    <mergeCell ref="A73"/>
    <mergeCell ref="B73"/>
    <mergeCell ref="C73"/>
    <mergeCell ref="D73"/>
    <mergeCell ref="E71"/>
    <mergeCell ref="A72"/>
    <mergeCell ref="B72"/>
    <mergeCell ref="C72"/>
    <mergeCell ref="D72"/>
    <mergeCell ref="E72"/>
    <mergeCell ref="A71"/>
    <mergeCell ref="B71"/>
    <mergeCell ref="C71"/>
    <mergeCell ref="D71"/>
    <mergeCell ref="E69"/>
    <mergeCell ref="A70"/>
    <mergeCell ref="B70"/>
    <mergeCell ref="C70"/>
    <mergeCell ref="D70"/>
    <mergeCell ref="E70"/>
    <mergeCell ref="A69"/>
    <mergeCell ref="B69"/>
    <mergeCell ref="C69"/>
    <mergeCell ref="D69"/>
    <mergeCell ref="E67"/>
    <mergeCell ref="A68"/>
    <mergeCell ref="B68"/>
    <mergeCell ref="C68"/>
    <mergeCell ref="D68"/>
    <mergeCell ref="E68"/>
    <mergeCell ref="A67"/>
    <mergeCell ref="B67"/>
    <mergeCell ref="C67"/>
    <mergeCell ref="D67"/>
    <mergeCell ref="E65"/>
    <mergeCell ref="A66"/>
    <mergeCell ref="B66"/>
    <mergeCell ref="C66"/>
    <mergeCell ref="D66"/>
    <mergeCell ref="E66"/>
    <mergeCell ref="A65"/>
    <mergeCell ref="B65"/>
    <mergeCell ref="C65"/>
    <mergeCell ref="D65"/>
    <mergeCell ref="E63"/>
    <mergeCell ref="A64"/>
    <mergeCell ref="B64"/>
    <mergeCell ref="C64"/>
    <mergeCell ref="D64"/>
    <mergeCell ref="E64"/>
    <mergeCell ref="A63"/>
    <mergeCell ref="B63"/>
    <mergeCell ref="C63"/>
    <mergeCell ref="D63"/>
    <mergeCell ref="E61"/>
    <mergeCell ref="A62"/>
    <mergeCell ref="B62"/>
    <mergeCell ref="C62"/>
    <mergeCell ref="D62"/>
    <mergeCell ref="E62"/>
    <mergeCell ref="A61"/>
    <mergeCell ref="B61"/>
    <mergeCell ref="C61"/>
    <mergeCell ref="D61"/>
    <mergeCell ref="E59"/>
    <mergeCell ref="A60"/>
    <mergeCell ref="B60"/>
    <mergeCell ref="C60"/>
    <mergeCell ref="D60"/>
    <mergeCell ref="E60"/>
    <mergeCell ref="A59"/>
    <mergeCell ref="B59"/>
    <mergeCell ref="C59"/>
    <mergeCell ref="D59"/>
    <mergeCell ref="E57"/>
    <mergeCell ref="A58"/>
    <mergeCell ref="B58"/>
    <mergeCell ref="C58"/>
    <mergeCell ref="D58"/>
    <mergeCell ref="E58"/>
    <mergeCell ref="A57"/>
    <mergeCell ref="B57"/>
    <mergeCell ref="C57"/>
    <mergeCell ref="D57"/>
    <mergeCell ref="E55"/>
    <mergeCell ref="A56"/>
    <mergeCell ref="B56"/>
    <mergeCell ref="C56"/>
    <mergeCell ref="D56"/>
    <mergeCell ref="E56"/>
    <mergeCell ref="A55"/>
    <mergeCell ref="B55"/>
    <mergeCell ref="C55"/>
    <mergeCell ref="D55"/>
    <mergeCell ref="E53"/>
    <mergeCell ref="A54"/>
    <mergeCell ref="B54"/>
    <mergeCell ref="C54"/>
    <mergeCell ref="D54"/>
    <mergeCell ref="E54"/>
    <mergeCell ref="A53"/>
    <mergeCell ref="B53"/>
    <mergeCell ref="C53"/>
    <mergeCell ref="D53"/>
    <mergeCell ref="E51"/>
    <mergeCell ref="A52"/>
    <mergeCell ref="B52"/>
    <mergeCell ref="C52"/>
    <mergeCell ref="D52"/>
    <mergeCell ref="E52"/>
    <mergeCell ref="A51"/>
    <mergeCell ref="B51"/>
    <mergeCell ref="C51"/>
    <mergeCell ref="D51"/>
    <mergeCell ref="E49"/>
    <mergeCell ref="A50"/>
    <mergeCell ref="B50"/>
    <mergeCell ref="C50"/>
    <mergeCell ref="D50"/>
    <mergeCell ref="E50"/>
    <mergeCell ref="A49"/>
    <mergeCell ref="B49"/>
    <mergeCell ref="C49"/>
    <mergeCell ref="D49"/>
    <mergeCell ref="E47"/>
    <mergeCell ref="A48"/>
    <mergeCell ref="B48"/>
    <mergeCell ref="C48"/>
    <mergeCell ref="D48"/>
    <mergeCell ref="E48"/>
    <mergeCell ref="A47"/>
    <mergeCell ref="B47"/>
    <mergeCell ref="C47"/>
    <mergeCell ref="D47"/>
    <mergeCell ref="E45"/>
    <mergeCell ref="A46"/>
    <mergeCell ref="B46"/>
    <mergeCell ref="C46"/>
    <mergeCell ref="D46"/>
    <mergeCell ref="E46"/>
    <mergeCell ref="A45"/>
    <mergeCell ref="B45"/>
    <mergeCell ref="C45"/>
    <mergeCell ref="D45"/>
    <mergeCell ref="E43"/>
    <mergeCell ref="A44"/>
    <mergeCell ref="B44"/>
    <mergeCell ref="C44"/>
    <mergeCell ref="D44"/>
    <mergeCell ref="E44"/>
    <mergeCell ref="A43"/>
    <mergeCell ref="B43"/>
    <mergeCell ref="C43"/>
    <mergeCell ref="D43"/>
    <mergeCell ref="E41"/>
    <mergeCell ref="A42"/>
    <mergeCell ref="B42"/>
    <mergeCell ref="C42"/>
    <mergeCell ref="D42"/>
    <mergeCell ref="E42"/>
    <mergeCell ref="A41"/>
    <mergeCell ref="B41"/>
    <mergeCell ref="C41"/>
    <mergeCell ref="D41"/>
    <mergeCell ref="E39"/>
    <mergeCell ref="A40"/>
    <mergeCell ref="B40"/>
    <mergeCell ref="C40"/>
    <mergeCell ref="D40"/>
    <mergeCell ref="E40"/>
    <mergeCell ref="A39"/>
    <mergeCell ref="B39"/>
    <mergeCell ref="C39"/>
    <mergeCell ref="D39"/>
    <mergeCell ref="E37"/>
    <mergeCell ref="A38"/>
    <mergeCell ref="B38"/>
    <mergeCell ref="C38"/>
    <mergeCell ref="D38"/>
    <mergeCell ref="E38"/>
    <mergeCell ref="A37"/>
    <mergeCell ref="B37"/>
    <mergeCell ref="C37"/>
    <mergeCell ref="D37"/>
    <mergeCell ref="E35"/>
    <mergeCell ref="A36"/>
    <mergeCell ref="B36"/>
    <mergeCell ref="C36"/>
    <mergeCell ref="D36"/>
    <mergeCell ref="E36"/>
    <mergeCell ref="A35"/>
    <mergeCell ref="B35"/>
    <mergeCell ref="C35"/>
    <mergeCell ref="D35"/>
    <mergeCell ref="E33"/>
    <mergeCell ref="A34"/>
    <mergeCell ref="B34"/>
    <mergeCell ref="C34"/>
    <mergeCell ref="D34"/>
    <mergeCell ref="E34"/>
    <mergeCell ref="A33"/>
    <mergeCell ref="B33"/>
    <mergeCell ref="C33"/>
    <mergeCell ref="D33"/>
    <mergeCell ref="E31"/>
    <mergeCell ref="A32"/>
    <mergeCell ref="B32"/>
    <mergeCell ref="C32"/>
    <mergeCell ref="D32"/>
    <mergeCell ref="E32"/>
    <mergeCell ref="A31"/>
    <mergeCell ref="B31"/>
    <mergeCell ref="C31"/>
    <mergeCell ref="D31"/>
    <mergeCell ref="E29"/>
    <mergeCell ref="A30"/>
    <mergeCell ref="B30"/>
    <mergeCell ref="C30"/>
    <mergeCell ref="D30"/>
    <mergeCell ref="E30"/>
    <mergeCell ref="A29"/>
    <mergeCell ref="B29"/>
    <mergeCell ref="C29"/>
    <mergeCell ref="D29"/>
    <mergeCell ref="E27"/>
    <mergeCell ref="A28"/>
    <mergeCell ref="B28"/>
    <mergeCell ref="C28"/>
    <mergeCell ref="D28"/>
    <mergeCell ref="E28"/>
    <mergeCell ref="A27"/>
    <mergeCell ref="B27"/>
    <mergeCell ref="C27"/>
    <mergeCell ref="D27"/>
    <mergeCell ref="E25"/>
    <mergeCell ref="A26"/>
    <mergeCell ref="B26"/>
    <mergeCell ref="C26"/>
    <mergeCell ref="D26"/>
    <mergeCell ref="E26"/>
    <mergeCell ref="A25"/>
    <mergeCell ref="B25"/>
    <mergeCell ref="C25"/>
    <mergeCell ref="D25"/>
    <mergeCell ref="E23"/>
    <mergeCell ref="A24"/>
    <mergeCell ref="B24"/>
    <mergeCell ref="C24"/>
    <mergeCell ref="D24"/>
    <mergeCell ref="E24"/>
    <mergeCell ref="A23"/>
    <mergeCell ref="B23"/>
    <mergeCell ref="C23"/>
    <mergeCell ref="D23"/>
    <mergeCell ref="E21"/>
    <mergeCell ref="A22"/>
    <mergeCell ref="B22"/>
    <mergeCell ref="C22"/>
    <mergeCell ref="D22"/>
    <mergeCell ref="E22"/>
    <mergeCell ref="A21"/>
    <mergeCell ref="B21"/>
    <mergeCell ref="C21"/>
    <mergeCell ref="D21"/>
    <mergeCell ref="E19"/>
    <mergeCell ref="A20"/>
    <mergeCell ref="B20"/>
    <mergeCell ref="C20"/>
    <mergeCell ref="D20"/>
    <mergeCell ref="E20"/>
    <mergeCell ref="A19"/>
    <mergeCell ref="B19"/>
    <mergeCell ref="C19"/>
    <mergeCell ref="D19"/>
    <mergeCell ref="E17"/>
    <mergeCell ref="A18"/>
    <mergeCell ref="B18"/>
    <mergeCell ref="C18"/>
    <mergeCell ref="D18"/>
    <mergeCell ref="E18"/>
    <mergeCell ref="A17"/>
    <mergeCell ref="B17"/>
    <mergeCell ref="C17"/>
    <mergeCell ref="D17"/>
    <mergeCell ref="E15"/>
    <mergeCell ref="A16"/>
    <mergeCell ref="B16"/>
    <mergeCell ref="C16"/>
    <mergeCell ref="D16"/>
    <mergeCell ref="E16"/>
    <mergeCell ref="A15"/>
    <mergeCell ref="B15"/>
    <mergeCell ref="C15"/>
    <mergeCell ref="D15"/>
    <mergeCell ref="E13"/>
    <mergeCell ref="A14"/>
    <mergeCell ref="B14"/>
    <mergeCell ref="C14"/>
    <mergeCell ref="D14"/>
    <mergeCell ref="E14"/>
    <mergeCell ref="A13"/>
    <mergeCell ref="B13"/>
    <mergeCell ref="C13"/>
    <mergeCell ref="D13"/>
    <mergeCell ref="E11"/>
    <mergeCell ref="A12"/>
    <mergeCell ref="B12"/>
    <mergeCell ref="C12"/>
    <mergeCell ref="D12"/>
    <mergeCell ref="E12"/>
    <mergeCell ref="A11"/>
    <mergeCell ref="B11"/>
    <mergeCell ref="C11"/>
    <mergeCell ref="D11"/>
    <mergeCell ref="E9"/>
    <mergeCell ref="A10"/>
    <mergeCell ref="B10"/>
    <mergeCell ref="C10"/>
    <mergeCell ref="D10"/>
    <mergeCell ref="E10"/>
    <mergeCell ref="A9"/>
    <mergeCell ref="B9"/>
    <mergeCell ref="C9"/>
    <mergeCell ref="D9"/>
    <mergeCell ref="B5:E5"/>
    <mergeCell ref="A6"/>
    <mergeCell ref="B6"/>
    <mergeCell ref="C6"/>
    <mergeCell ref="D6"/>
    <mergeCell ref="E6"/>
    <mergeCell ref="E7"/>
    <mergeCell ref="A8"/>
    <mergeCell ref="B8"/>
    <mergeCell ref="C8"/>
    <mergeCell ref="D8"/>
    <mergeCell ref="E8"/>
    <mergeCell ref="A7"/>
    <mergeCell ref="B7"/>
    <mergeCell ref="C7"/>
    <mergeCell ref="D7"/>
  </mergeCells>
  <phoneticPr fontId="4" type="noConversion"/>
  <printOptions gridLines="1"/>
  <pageMargins left="0.75" right="0.75" top="1" bottom="1" header="0.5" footer="0.5"/>
  <pageSetup paperSize="0" scale="85" fitToHeight="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vs. Actuals</vt:lpstr>
      <vt:lpstr>'Budget vs. Actuals'!Print_Area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Darcy Crisp</cp:lastModifiedBy>
  <cp:lastPrinted>2010-01-11T18:18:31Z</cp:lastPrinted>
  <dcterms:created xsi:type="dcterms:W3CDTF">2010-01-11T18:17:15Z</dcterms:created>
  <dcterms:modified xsi:type="dcterms:W3CDTF">2020-12-22T02:38:23Z</dcterms:modified>
</cp:coreProperties>
</file>