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cycrisp/Desktop/Book Figures for Website/"/>
    </mc:Choice>
  </mc:AlternateContent>
  <xr:revisionPtr revIDLastSave="0" documentId="13_ncr:1_{44CF8E3D-5025-6746-BD37-8139F264B47F}" xr6:coauthVersionLast="46" xr6:coauthVersionMax="46" xr10:uidLastSave="{00000000-0000-0000-0000-000000000000}"/>
  <bookViews>
    <workbookView xWindow="0" yWindow="460" windowWidth="28800" windowHeight="16440" xr2:uid="{D770AF18-A6D4-1E40-BAC0-55B9B1EA29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B8" i="1"/>
  <c r="C8" i="1"/>
  <c r="D8" i="1"/>
  <c r="E8" i="1"/>
  <c r="F8" i="1" s="1"/>
  <c r="B11" i="1"/>
  <c r="C11" i="1"/>
  <c r="D11" i="1"/>
  <c r="F11" i="1" s="1"/>
  <c r="E11" i="1"/>
  <c r="E12" i="1"/>
  <c r="F12" i="1"/>
  <c r="D13" i="1"/>
  <c r="F13" i="1"/>
  <c r="F14" i="1"/>
  <c r="B15" i="1"/>
  <c r="C15" i="1"/>
  <c r="F15" i="1" s="1"/>
  <c r="D15" i="1"/>
  <c r="E15" i="1"/>
  <c r="B16" i="1"/>
  <c r="F16" i="1" s="1"/>
  <c r="C16" i="1"/>
  <c r="E16" i="1"/>
  <c r="B22" i="1"/>
  <c r="F22" i="1" s="1"/>
  <c r="C22" i="1"/>
  <c r="D22" i="1"/>
  <c r="E22" i="1"/>
  <c r="B23" i="1"/>
  <c r="C23" i="1"/>
  <c r="D23" i="1"/>
  <c r="E23" i="1"/>
  <c r="F23" i="1"/>
  <c r="B24" i="1"/>
  <c r="C24" i="1"/>
  <c r="F24" i="1"/>
  <c r="B25" i="1"/>
  <c r="F25" i="1" s="1"/>
  <c r="C25" i="1"/>
  <c r="B26" i="1"/>
  <c r="C26" i="1"/>
  <c r="F26" i="1" s="1"/>
  <c r="D26" i="1"/>
  <c r="E26" i="1"/>
  <c r="B28" i="1"/>
  <c r="B29" i="1" s="1"/>
  <c r="F29" i="1" s="1"/>
  <c r="C28" i="1"/>
  <c r="C29" i="1"/>
  <c r="D28" i="1"/>
  <c r="D29" i="1" s="1"/>
  <c r="D58" i="1" s="1"/>
  <c r="E28" i="1"/>
  <c r="E29" i="1"/>
  <c r="F30" i="1"/>
  <c r="E31" i="1"/>
  <c r="F31" i="1"/>
  <c r="B32" i="1"/>
  <c r="C32" i="1"/>
  <c r="F32" i="1" s="1"/>
  <c r="D32" i="1"/>
  <c r="E32" i="1"/>
  <c r="E45" i="1" s="1"/>
  <c r="B33" i="1"/>
  <c r="C33" i="1"/>
  <c r="F33" i="1" s="1"/>
  <c r="D33" i="1"/>
  <c r="E33" i="1"/>
  <c r="B34" i="1"/>
  <c r="B45" i="1" s="1"/>
  <c r="C34" i="1"/>
  <c r="D34" i="1"/>
  <c r="E34" i="1"/>
  <c r="E35" i="1"/>
  <c r="F35" i="1" s="1"/>
  <c r="B36" i="1"/>
  <c r="C36" i="1"/>
  <c r="F36" i="1" s="1"/>
  <c r="D36" i="1"/>
  <c r="E36" i="1"/>
  <c r="B37" i="1"/>
  <c r="C37" i="1"/>
  <c r="F37" i="1" s="1"/>
  <c r="D37" i="1"/>
  <c r="E37" i="1"/>
  <c r="B38" i="1"/>
  <c r="C38" i="1"/>
  <c r="D38" i="1"/>
  <c r="E38" i="1"/>
  <c r="F38" i="1"/>
  <c r="B39" i="1"/>
  <c r="C39" i="1"/>
  <c r="F39" i="1" s="1"/>
  <c r="D39" i="1"/>
  <c r="E39" i="1"/>
  <c r="B40" i="1"/>
  <c r="C40" i="1"/>
  <c r="F40" i="1" s="1"/>
  <c r="D40" i="1"/>
  <c r="E40" i="1"/>
  <c r="B41" i="1"/>
  <c r="F41" i="1" s="1"/>
  <c r="C41" i="1"/>
  <c r="D41" i="1"/>
  <c r="E41" i="1"/>
  <c r="B42" i="1"/>
  <c r="F42" i="1" s="1"/>
  <c r="D43" i="1"/>
  <c r="F43" i="1"/>
  <c r="B44" i="1"/>
  <c r="C44" i="1"/>
  <c r="D44" i="1"/>
  <c r="E44" i="1"/>
  <c r="F44" i="1"/>
  <c r="B46" i="1"/>
  <c r="C46" i="1"/>
  <c r="F46" i="1" s="1"/>
  <c r="D46" i="1"/>
  <c r="D53" i="1" s="1"/>
  <c r="E46" i="1"/>
  <c r="E53" i="1" s="1"/>
  <c r="F47" i="1"/>
  <c r="B48" i="1"/>
  <c r="B49" i="1" s="1"/>
  <c r="C48" i="1"/>
  <c r="F48" i="1" s="1"/>
  <c r="D48" i="1"/>
  <c r="E48" i="1"/>
  <c r="B50" i="1"/>
  <c r="F50" i="1" s="1"/>
  <c r="B51" i="1"/>
  <c r="C51" i="1"/>
  <c r="F51" i="1" s="1"/>
  <c r="D51" i="1"/>
  <c r="E51" i="1"/>
  <c r="B52" i="1"/>
  <c r="F52" i="1" s="1"/>
  <c r="C52" i="1"/>
  <c r="D52" i="1"/>
  <c r="E52" i="1"/>
  <c r="B54" i="1"/>
  <c r="C54" i="1"/>
  <c r="D54" i="1"/>
  <c r="E54" i="1"/>
  <c r="E56" i="1" s="1"/>
  <c r="F54" i="1"/>
  <c r="B55" i="1"/>
  <c r="F55" i="1"/>
  <c r="D57" i="1"/>
  <c r="F57" i="1"/>
  <c r="E61" i="1"/>
  <c r="F61" i="1"/>
  <c r="B9" i="1"/>
  <c r="F9" i="1" s="1"/>
  <c r="B10" i="1"/>
  <c r="B18" i="1"/>
  <c r="B56" i="1"/>
  <c r="B62" i="1"/>
  <c r="B66" i="1" s="1"/>
  <c r="F66" i="1" s="1"/>
  <c r="B65" i="1"/>
  <c r="F65" i="1" s="1"/>
  <c r="C9" i="1"/>
  <c r="C10" i="1"/>
  <c r="C45" i="1"/>
  <c r="C56" i="1"/>
  <c r="C62" i="1"/>
  <c r="C65" i="1"/>
  <c r="C66" i="1"/>
  <c r="D9" i="1"/>
  <c r="D10" i="1"/>
  <c r="D19" i="1" s="1"/>
  <c r="D20" i="1" s="1"/>
  <c r="D17" i="1"/>
  <c r="D18" i="1"/>
  <c r="D45" i="1"/>
  <c r="D49" i="1"/>
  <c r="D56" i="1"/>
  <c r="D62" i="1"/>
  <c r="D65" i="1"/>
  <c r="D66" i="1"/>
  <c r="E9" i="1"/>
  <c r="E10" i="1"/>
  <c r="E19" i="1" s="1"/>
  <c r="E20" i="1" s="1"/>
  <c r="E17" i="1"/>
  <c r="E49" i="1"/>
  <c r="E62" i="1"/>
  <c r="E65" i="1"/>
  <c r="E66" i="1"/>
  <c r="F62" i="1"/>
  <c r="F27" i="1"/>
  <c r="F18" i="1"/>
  <c r="F10" i="1"/>
  <c r="E58" i="1" l="1"/>
  <c r="F56" i="1"/>
  <c r="D59" i="1"/>
  <c r="D67" i="1" s="1"/>
  <c r="E59" i="1"/>
  <c r="E67" i="1" s="1"/>
  <c r="B53" i="1"/>
  <c r="F53" i="1" s="1"/>
  <c r="C19" i="1"/>
  <c r="C20" i="1" s="1"/>
  <c r="F45" i="1"/>
  <c r="F34" i="1"/>
  <c r="C49" i="1"/>
  <c r="C53" i="1" s="1"/>
  <c r="C58" i="1" s="1"/>
  <c r="C17" i="1"/>
  <c r="B17" i="1"/>
  <c r="F17" i="1" s="1"/>
  <c r="F28" i="1"/>
  <c r="C59" i="1" l="1"/>
  <c r="C67" i="1" s="1"/>
  <c r="F49" i="1"/>
  <c r="B58" i="1"/>
  <c r="F58" i="1" s="1"/>
  <c r="B19" i="1"/>
  <c r="F19" i="1" l="1"/>
  <c r="B20" i="1"/>
  <c r="B59" i="1" l="1"/>
  <c r="F20" i="1"/>
  <c r="B67" i="1" l="1"/>
  <c r="F67" i="1" s="1"/>
  <c r="F59" i="1"/>
</calcChain>
</file>

<file path=xl/sharedStrings.xml><?xml version="1.0" encoding="utf-8"?>
<sst xmlns="http://schemas.openxmlformats.org/spreadsheetml/2006/main" count="71" uniqueCount="71">
  <si>
    <t>Profit and Loss</t>
  </si>
  <si>
    <t>Total</t>
  </si>
  <si>
    <t>Income</t>
  </si>
  <si>
    <t xml:space="preserve">   Monthly Charges</t>
  </si>
  <si>
    <t xml:space="preserve">      Insurance Adjustments</t>
  </si>
  <si>
    <t xml:space="preserve">      Revenue Deposit</t>
  </si>
  <si>
    <t xml:space="preserve">   Total Monthly Charges</t>
  </si>
  <si>
    <t xml:space="preserve">   Patient Refunds</t>
  </si>
  <si>
    <t xml:space="preserve">   Physicians Incentive Program</t>
  </si>
  <si>
    <t xml:space="preserve">   Sales</t>
  </si>
  <si>
    <t xml:space="preserve">   Taxes &amp; Licenses</t>
  </si>
  <si>
    <t xml:space="preserve">   Total Taxes &amp; Licenses</t>
  </si>
  <si>
    <t xml:space="preserve">   Vitamin Revenue</t>
  </si>
  <si>
    <t>Total Income</t>
  </si>
  <si>
    <t>Gross Profit</t>
  </si>
  <si>
    <t>Expenses</t>
  </si>
  <si>
    <t xml:space="preserve">   Consulting Fees</t>
  </si>
  <si>
    <t xml:space="preserve">   Contractors</t>
  </si>
  <si>
    <t xml:space="preserve">   Medical Supplies</t>
  </si>
  <si>
    <t xml:space="preserve">   Office Equipment Under $2,500</t>
  </si>
  <si>
    <t xml:space="preserve">      Office Equipment Lease</t>
  </si>
  <si>
    <t xml:space="preserve">   Total Office Equipment Under $2,500</t>
  </si>
  <si>
    <t xml:space="preserve">   Office/General Administrative Expenses</t>
  </si>
  <si>
    <t xml:space="preserve">      Accounting Fees</t>
  </si>
  <si>
    <t xml:space="preserve">      Bank Charges &amp; Fees</t>
  </si>
  <si>
    <t xml:space="preserve">      Continuing Education</t>
  </si>
  <si>
    <t xml:space="preserve">      Credit Card Fees</t>
  </si>
  <si>
    <t xml:space="preserve">      Dues and Memberships</t>
  </si>
  <si>
    <t xml:space="preserve">      Janitorial</t>
  </si>
  <si>
    <t xml:space="preserve">      Meals &amp; Entertainment</t>
  </si>
  <si>
    <t xml:space="preserve">      Office Supplies</t>
  </si>
  <si>
    <t xml:space="preserve">      Office Supplies &amp; Software</t>
  </si>
  <si>
    <t xml:space="preserve">      Other Business Expenses</t>
  </si>
  <si>
    <t xml:space="preserve">      Physicians Insurance</t>
  </si>
  <si>
    <t xml:space="preserve">      Reimbursements</t>
  </si>
  <si>
    <t xml:space="preserve">      Travel</t>
  </si>
  <si>
    <t xml:space="preserve">      Utilities</t>
  </si>
  <si>
    <t xml:space="preserve">   Total Office/General Administrative Expenses</t>
  </si>
  <si>
    <t xml:space="preserve">   Payroll Expenses</t>
  </si>
  <si>
    <t xml:space="preserve">      Company Contributions</t>
  </si>
  <si>
    <t xml:space="preserve">         Retirement</t>
  </si>
  <si>
    <t xml:space="preserve">      Total Company Contributions</t>
  </si>
  <si>
    <t xml:space="preserve">      Employee Benefits</t>
  </si>
  <si>
    <t xml:space="preserve">      Taxes</t>
  </si>
  <si>
    <t xml:space="preserve">      Wages</t>
  </si>
  <si>
    <t xml:space="preserve">   Total Payroll Expenses</t>
  </si>
  <si>
    <t xml:space="preserve">   Rent &amp; Lease</t>
  </si>
  <si>
    <t xml:space="preserve">      Rent Income</t>
  </si>
  <si>
    <t xml:space="preserve">   Total Rent &amp; Lease</t>
  </si>
  <si>
    <t xml:space="preserve">   Repairs &amp; Maintenance</t>
  </si>
  <si>
    <t>Total Expenses</t>
  </si>
  <si>
    <t>Net Operating Income</t>
  </si>
  <si>
    <t>Other Income</t>
  </si>
  <si>
    <t xml:space="preserve">   Other Miscellaneous Income</t>
  </si>
  <si>
    <t>Total Other Income</t>
  </si>
  <si>
    <t>Other Expenses</t>
  </si>
  <si>
    <t xml:space="preserve">   Owner's Pay &amp; Personal Expenses</t>
  </si>
  <si>
    <t>Total Other Expenses</t>
  </si>
  <si>
    <t>Net Other Income</t>
  </si>
  <si>
    <t>Net Income</t>
  </si>
  <si>
    <t>January - April, 20XX</t>
  </si>
  <si>
    <t>Jan 20XX</t>
  </si>
  <si>
    <t>Feb 20XX</t>
  </si>
  <si>
    <t>Mar 20XX</t>
  </si>
  <si>
    <t>Apr 20XX</t>
  </si>
  <si>
    <t>ACME Family Medicine &amp; Integrative Health</t>
  </si>
  <si>
    <t xml:space="preserve">      City of ACME Revenue Expense</t>
  </si>
  <si>
    <t xml:space="preserve">      ACME State Department of Revenue Expense</t>
  </si>
  <si>
    <t xml:space="preserve">   Interest Bank Equipment Loan</t>
  </si>
  <si>
    <t xml:space="preserve">   Interest Bank Line of Credit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</si>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</sst>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0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4"/>
      <name val="Arial"/>
      <family val="2"/>
    </font>
    <font>
      <b/>
      <sz val="8"/>
      <color indexed="8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sz val="8"/>
      <color indexed="8"/>
      <name val="Arial"/>
      <family val="2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5" fillId="0" borderId="0" xfId="1" applyFont="1" applyAlignment="1">
      <alignment horizontal="left" wrapText="1"/>
    </xf>
    <xf numFmtId="164" fontId="6" fillId="0" borderId="0" xfId="1" applyNumberFormat="1" applyFont="1" applyAlignment="1">
      <alignment wrapText="1"/>
    </xf>
    <xf numFmtId="0" fontId="9" fillId="0" borderId="0" xfId="1" applyFont="1"/>
    <xf numFmtId="0" fontId="1" fillId="0" borderId="1" xfId="1" applyBorder="1"/>
    <xf numFmtId="0" fontId="9" fillId="0" borderId="1" xfId="1" applyFont="1" applyBorder="1"/>
    <xf numFmtId="0" fontId="1" fillId="0" borderId="1" xfId="1" applyBorder="1" applyAlignment="1">
      <alignment wrapText="1"/>
    </xf>
    <xf numFmtId="0" fontId="4" fillId="0" borderId="1" xfId="1" applyFont="1" applyBorder="1" applyAlignment="1">
      <alignment horizontal="center" wrapText="1"/>
    </xf>
    <xf numFmtId="164" fontId="6" fillId="0" borderId="1" xfId="1" applyNumberFormat="1" applyFont="1" applyBorder="1" applyAlignment="1">
      <alignment wrapText="1"/>
    </xf>
    <xf numFmtId="164" fontId="6" fillId="0" borderId="1" xfId="1" applyNumberFormat="1" applyFont="1" applyBorder="1" applyAlignment="1">
      <alignment horizontal="right" wrapText="1"/>
    </xf>
    <xf numFmtId="165" fontId="7" fillId="0" borderId="1" xfId="1" applyNumberFormat="1" applyFont="1" applyBorder="1" applyAlignment="1">
      <alignment horizontal="right" wrapText="1"/>
    </xf>
    <xf numFmtId="165" fontId="6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horizontal="center"/>
    </xf>
    <xf numFmtId="0" fontId="1" fillId="0" borderId="1" xfId="1" applyBorder="1"/>
    <xf numFmtId="0" fontId="3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0" fontId="5" fillId="0" borderId="1" xfId="1" applyFont="1" applyBorder="1" applyAlignment="1">
      <alignment horizontal="left"/>
    </xf>
  </cellXfs>
  <cellStyles count="2">
    <cellStyle name="Normal" xfId="0" builtinId="0"/>
    <cellStyle name="Normal 2" xfId="1" xr:uid="{ED26DAA8-D4A2-4B46-8428-C9491DB80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C29B-48EF-494F-A01D-A43475CA5B05}">
  <dimension ref="A1:F71"/>
  <sheetViews>
    <sheetView tabSelected="1" topLeftCell="A54" zoomScale="160" zoomScaleNormal="160" workbookViewId="0">
      <selection activeCell="A10" sqref="A10"/>
    </sheetView>
  </sheetViews>
  <sheetFormatPr baseColWidth="10" defaultColWidth="8.6640625" defaultRowHeight="15" x14ac:dyDescent="0.2"/>
  <cols>
    <col min="1" max="1" width="33.83203125" style="1" customWidth="1"/>
    <col min="2" max="2" width="9" style="4" customWidth="1"/>
    <col min="3" max="3" width="9.1640625" style="4" customWidth="1"/>
    <col min="4" max="4" width="9" style="4" customWidth="1"/>
    <col min="5" max="5" width="8.83203125" style="4" customWidth="1"/>
    <col min="6" max="6" width="9.5" style="4" customWidth="1"/>
    <col min="7" max="7" width="2.5" style="1" customWidth="1"/>
    <col min="8" max="16384" width="8.6640625" style="1"/>
  </cols>
  <sheetData>
    <row r="1" spans="1:6" ht="18" x14ac:dyDescent="0.2">
      <c r="A1" s="13" t="s">
        <v>65</v>
      </c>
      <c r="B1" s="14"/>
      <c r="C1" s="14"/>
      <c r="D1" s="14"/>
      <c r="E1" s="14"/>
      <c r="F1" s="14"/>
    </row>
    <row r="2" spans="1:6" ht="18" x14ac:dyDescent="0.2">
      <c r="A2" s="13" t="s">
        <v>0</v>
      </c>
      <c r="B2" s="14"/>
      <c r="C2" s="14"/>
      <c r="D2" s="14"/>
      <c r="E2" s="14"/>
      <c r="F2" s="14"/>
    </row>
    <row r="3" spans="1:6" x14ac:dyDescent="0.2">
      <c r="A3" s="15" t="s">
        <v>60</v>
      </c>
      <c r="B3" s="14"/>
      <c r="C3" s="14"/>
      <c r="D3" s="14"/>
      <c r="E3" s="14"/>
      <c r="F3" s="14"/>
    </row>
    <row r="4" spans="1:6" x14ac:dyDescent="0.2">
      <c r="A4" s="5"/>
      <c r="B4" s="6"/>
      <c r="C4" s="6"/>
      <c r="D4" s="6"/>
      <c r="E4" s="6"/>
      <c r="F4" s="6"/>
    </row>
    <row r="5" spans="1:6" x14ac:dyDescent="0.2">
      <c r="A5" s="7"/>
      <c r="B5" s="8" t="s">
        <v>61</v>
      </c>
      <c r="C5" s="8" t="s">
        <v>62</v>
      </c>
      <c r="D5" s="8" t="s">
        <v>63</v>
      </c>
      <c r="E5" s="8" t="s">
        <v>64</v>
      </c>
      <c r="F5" s="8" t="s">
        <v>1</v>
      </c>
    </row>
    <row r="6" spans="1:6" x14ac:dyDescent="0.2">
      <c r="A6" s="18" t="s">
        <v>2</v>
      </c>
      <c r="B6" s="9"/>
      <c r="C6" s="9"/>
      <c r="D6" s="9"/>
      <c r="E6" s="9"/>
      <c r="F6" s="9"/>
    </row>
    <row r="7" spans="1:6" x14ac:dyDescent="0.2">
      <c r="A7" s="18" t="s">
        <v>3</v>
      </c>
      <c r="B7" s="10">
        <f>140749</f>
        <v>140749</v>
      </c>
      <c r="C7" s="10">
        <f>143849</f>
        <v>143849</v>
      </c>
      <c r="D7" s="10">
        <f>125912</f>
        <v>125912</v>
      </c>
      <c r="E7" s="10">
        <f>87927</f>
        <v>87927</v>
      </c>
      <c r="F7" s="10">
        <f t="shared" ref="F7:F20" si="0">(((B7)+(C7))+(D7))+(E7)</f>
        <v>498437</v>
      </c>
    </row>
    <row r="8" spans="1:6" x14ac:dyDescent="0.2">
      <c r="A8" s="18" t="s">
        <v>4</v>
      </c>
      <c r="B8" s="10">
        <f>-53246.49</f>
        <v>-53246.49</v>
      </c>
      <c r="C8" s="10">
        <f>-46672.06</f>
        <v>-46672.06</v>
      </c>
      <c r="D8" s="10">
        <f>-57180.19</f>
        <v>-57180.19</v>
      </c>
      <c r="E8" s="10">
        <f>-46651.44</f>
        <v>-46651.44</v>
      </c>
      <c r="F8" s="10">
        <f t="shared" si="0"/>
        <v>-203750.18</v>
      </c>
    </row>
    <row r="9" spans="1:6" x14ac:dyDescent="0.2">
      <c r="A9" s="18" t="s">
        <v>5</v>
      </c>
      <c r="B9" s="10">
        <f>0</f>
        <v>0</v>
      </c>
      <c r="C9" s="10">
        <f>0</f>
        <v>0</v>
      </c>
      <c r="D9" s="10">
        <f>0</f>
        <v>0</v>
      </c>
      <c r="E9" s="10">
        <f>0</f>
        <v>0</v>
      </c>
      <c r="F9" s="10">
        <f t="shared" si="0"/>
        <v>0</v>
      </c>
    </row>
    <row r="10" spans="1:6" x14ac:dyDescent="0.2">
      <c r="A10" s="18" t="s">
        <v>6</v>
      </c>
      <c r="B10" s="11">
        <f>((B7)+(B8))+(B9)</f>
        <v>87502.510000000009</v>
      </c>
      <c r="C10" s="11">
        <f>((C7)+(C8))+(C9)</f>
        <v>97176.94</v>
      </c>
      <c r="D10" s="11">
        <f>((D7)+(D8))+(D9)</f>
        <v>68731.81</v>
      </c>
      <c r="E10" s="11">
        <f>((E7)+(E8))+(E9)</f>
        <v>41275.56</v>
      </c>
      <c r="F10" s="11">
        <f t="shared" si="0"/>
        <v>294686.82</v>
      </c>
    </row>
    <row r="11" spans="1:6" x14ac:dyDescent="0.2">
      <c r="A11" s="18" t="s">
        <v>7</v>
      </c>
      <c r="B11" s="10">
        <f>-193.5</f>
        <v>-193.5</v>
      </c>
      <c r="C11" s="10">
        <f>-474.55</f>
        <v>-474.55</v>
      </c>
      <c r="D11" s="10">
        <f>193.5</f>
        <v>193.5</v>
      </c>
      <c r="E11" s="10">
        <f>-382.07</f>
        <v>-382.07</v>
      </c>
      <c r="F11" s="10">
        <f t="shared" si="0"/>
        <v>-856.61999999999989</v>
      </c>
    </row>
    <row r="12" spans="1:6" x14ac:dyDescent="0.2">
      <c r="A12" s="18" t="s">
        <v>8</v>
      </c>
      <c r="B12" s="9"/>
      <c r="C12" s="9"/>
      <c r="D12" s="9"/>
      <c r="E12" s="10">
        <f>3931.44</f>
        <v>3931.44</v>
      </c>
      <c r="F12" s="10">
        <f t="shared" si="0"/>
        <v>3931.44</v>
      </c>
    </row>
    <row r="13" spans="1:6" x14ac:dyDescent="0.2">
      <c r="A13" s="18" t="s">
        <v>9</v>
      </c>
      <c r="B13" s="9"/>
      <c r="C13" s="9"/>
      <c r="D13" s="10">
        <f>160.91</f>
        <v>160.91</v>
      </c>
      <c r="E13" s="9"/>
      <c r="F13" s="10">
        <f t="shared" si="0"/>
        <v>160.91</v>
      </c>
    </row>
    <row r="14" spans="1:6" x14ac:dyDescent="0.2">
      <c r="A14" s="18" t="s">
        <v>10</v>
      </c>
      <c r="B14" s="9"/>
      <c r="C14" s="9"/>
      <c r="D14" s="9"/>
      <c r="E14" s="9"/>
      <c r="F14" s="10">
        <f t="shared" si="0"/>
        <v>0</v>
      </c>
    </row>
    <row r="15" spans="1:6" x14ac:dyDescent="0.2">
      <c r="A15" s="18" t="s">
        <v>66</v>
      </c>
      <c r="B15" s="10">
        <f>-175</f>
        <v>-175</v>
      </c>
      <c r="C15" s="10">
        <f>-194.35</f>
        <v>-194.35</v>
      </c>
      <c r="D15" s="10">
        <f>-137.46</f>
        <v>-137.46</v>
      </c>
      <c r="E15" s="10">
        <f>-82.55</f>
        <v>-82.55</v>
      </c>
      <c r="F15" s="10">
        <f t="shared" si="0"/>
        <v>-589.36</v>
      </c>
    </row>
    <row r="16" spans="1:6" x14ac:dyDescent="0.2">
      <c r="A16" s="18" t="s">
        <v>67</v>
      </c>
      <c r="B16" s="10">
        <f>-1575.05</f>
        <v>-1575.05</v>
      </c>
      <c r="C16" s="10">
        <f>-2040.71</f>
        <v>-2040.71</v>
      </c>
      <c r="D16" s="10">
        <v>-1237.18</v>
      </c>
      <c r="E16" s="10">
        <f>-742.96</f>
        <v>-742.96</v>
      </c>
      <c r="F16" s="10">
        <f t="shared" si="0"/>
        <v>-5595.9000000000005</v>
      </c>
    </row>
    <row r="17" spans="1:6" x14ac:dyDescent="0.2">
      <c r="A17" s="18" t="s">
        <v>11</v>
      </c>
      <c r="B17" s="11">
        <f>((B14)+(B15))+(B16)</f>
        <v>-1750.05</v>
      </c>
      <c r="C17" s="11">
        <f>((C14)+(C15))+(C16)</f>
        <v>-2235.06</v>
      </c>
      <c r="D17" s="11">
        <f>((D14)+(D15))+(D16)</f>
        <v>-1374.64</v>
      </c>
      <c r="E17" s="11">
        <f>((E14)+(E15))+(E16)</f>
        <v>-825.51</v>
      </c>
      <c r="F17" s="11">
        <f t="shared" si="0"/>
        <v>-6185.26</v>
      </c>
    </row>
    <row r="18" spans="1:6" x14ac:dyDescent="0.2">
      <c r="A18" s="18" t="s">
        <v>12</v>
      </c>
      <c r="B18" s="10">
        <f>-118.32</f>
        <v>-118.32</v>
      </c>
      <c r="C18" s="9"/>
      <c r="D18" s="10">
        <f>25.75</f>
        <v>25.75</v>
      </c>
      <c r="E18" s="9"/>
      <c r="F18" s="10">
        <f t="shared" si="0"/>
        <v>-92.57</v>
      </c>
    </row>
    <row r="19" spans="1:6" x14ac:dyDescent="0.2">
      <c r="A19" s="18" t="s">
        <v>13</v>
      </c>
      <c r="B19" s="11">
        <f>(((((B10)+(B11))+(B12))+(B13))+(B17))+(B18)</f>
        <v>85440.639999999999</v>
      </c>
      <c r="C19" s="11">
        <f>(((((C10)+(C11))+(C12))+(C13))+(C17))+(C18)</f>
        <v>94467.33</v>
      </c>
      <c r="D19" s="11">
        <f>(((((D10)+(D11))+(D12))+(D13))+(D17))+(D18)</f>
        <v>67737.33</v>
      </c>
      <c r="E19" s="11">
        <f>(((((E10)+(E11))+(E12))+(E13))+(E17))+(E18)</f>
        <v>43999.42</v>
      </c>
      <c r="F19" s="11">
        <f t="shared" si="0"/>
        <v>291644.71999999997</v>
      </c>
    </row>
    <row r="20" spans="1:6" x14ac:dyDescent="0.2">
      <c r="A20" s="18" t="s">
        <v>14</v>
      </c>
      <c r="B20" s="11">
        <f>(B19)-(0)</f>
        <v>85440.639999999999</v>
      </c>
      <c r="C20" s="11">
        <f>(C19)-(0)</f>
        <v>94467.33</v>
      </c>
      <c r="D20" s="11">
        <f>(D19)-(0)</f>
        <v>67737.33</v>
      </c>
      <c r="E20" s="11">
        <f>(E19)-(0)</f>
        <v>43999.42</v>
      </c>
      <c r="F20" s="11">
        <f t="shared" si="0"/>
        <v>291644.71999999997</v>
      </c>
    </row>
    <row r="21" spans="1:6" x14ac:dyDescent="0.2">
      <c r="A21" s="18" t="s">
        <v>15</v>
      </c>
      <c r="B21" s="9"/>
      <c r="C21" s="9"/>
      <c r="D21" s="9"/>
      <c r="E21" s="9"/>
      <c r="F21" s="9"/>
    </row>
    <row r="22" spans="1:6" x14ac:dyDescent="0.2">
      <c r="A22" s="18" t="s">
        <v>16</v>
      </c>
      <c r="B22" s="10">
        <f>7114.89</f>
        <v>7114.89</v>
      </c>
      <c r="C22" s="10">
        <f>6326.38</f>
        <v>6326.38</v>
      </c>
      <c r="D22" s="10">
        <f>5375.02</f>
        <v>5375.02</v>
      </c>
      <c r="E22" s="10">
        <f>7150.79</f>
        <v>7150.79</v>
      </c>
      <c r="F22" s="10">
        <f t="shared" ref="F22:F59" si="1">(((B22)+(C22))+(D22))+(E22)</f>
        <v>25967.08</v>
      </c>
    </row>
    <row r="23" spans="1:6" x14ac:dyDescent="0.2">
      <c r="A23" s="18" t="s">
        <v>17</v>
      </c>
      <c r="B23" s="10">
        <f>3554.16</f>
        <v>3554.16</v>
      </c>
      <c r="C23" s="10">
        <f>612.24</f>
        <v>612.24</v>
      </c>
      <c r="D23" s="10">
        <f>204.68</f>
        <v>204.68</v>
      </c>
      <c r="E23" s="10">
        <f>532.25</f>
        <v>532.25</v>
      </c>
      <c r="F23" s="10">
        <f t="shared" si="1"/>
        <v>4903.33</v>
      </c>
    </row>
    <row r="24" spans="1:6" x14ac:dyDescent="0.2">
      <c r="A24" s="18" t="s">
        <v>68</v>
      </c>
      <c r="B24" s="10">
        <f>247.41</f>
        <v>247.41</v>
      </c>
      <c r="C24" s="10">
        <f>242.39</f>
        <v>242.39</v>
      </c>
      <c r="D24" s="9"/>
      <c r="E24" s="9"/>
      <c r="F24" s="10">
        <f t="shared" si="1"/>
        <v>489.79999999999995</v>
      </c>
    </row>
    <row r="25" spans="1:6" x14ac:dyDescent="0.2">
      <c r="A25" s="18" t="s">
        <v>69</v>
      </c>
      <c r="B25" s="10">
        <f>199.42</f>
        <v>199.42</v>
      </c>
      <c r="C25" s="10">
        <f>1296</f>
        <v>1296</v>
      </c>
      <c r="D25" s="9"/>
      <c r="E25" s="9"/>
      <c r="F25" s="10">
        <f t="shared" si="1"/>
        <v>1495.42</v>
      </c>
    </row>
    <row r="26" spans="1:6" x14ac:dyDescent="0.2">
      <c r="A26" s="18" t="s">
        <v>18</v>
      </c>
      <c r="B26" s="10">
        <f>3316.97</f>
        <v>3316.97</v>
      </c>
      <c r="C26" s="10">
        <f>234.91</f>
        <v>234.91</v>
      </c>
      <c r="D26" s="10">
        <f>122.16</f>
        <v>122.16</v>
      </c>
      <c r="E26" s="10">
        <f>1989.69</f>
        <v>1989.69</v>
      </c>
      <c r="F26" s="10">
        <f t="shared" si="1"/>
        <v>5663.73</v>
      </c>
    </row>
    <row r="27" spans="1:6" x14ac:dyDescent="0.2">
      <c r="A27" s="18" t="s">
        <v>19</v>
      </c>
      <c r="B27" s="9"/>
      <c r="C27" s="9"/>
      <c r="D27" s="9"/>
      <c r="E27" s="9"/>
      <c r="F27" s="10">
        <f t="shared" si="1"/>
        <v>0</v>
      </c>
    </row>
    <row r="28" spans="1:6" x14ac:dyDescent="0.2">
      <c r="A28" s="18" t="s">
        <v>20</v>
      </c>
      <c r="B28" s="10">
        <f>224.66</f>
        <v>224.66</v>
      </c>
      <c r="C28" s="10">
        <f>308.1</f>
        <v>308.10000000000002</v>
      </c>
      <c r="D28" s="10">
        <f>228.92</f>
        <v>228.92</v>
      </c>
      <c r="E28" s="10">
        <f>230.6</f>
        <v>230.6</v>
      </c>
      <c r="F28" s="10">
        <f t="shared" si="1"/>
        <v>992.28</v>
      </c>
    </row>
    <row r="29" spans="1:6" x14ac:dyDescent="0.2">
      <c r="A29" s="18" t="s">
        <v>21</v>
      </c>
      <c r="B29" s="12">
        <f>(B27)+(B28)</f>
        <v>224.66</v>
      </c>
      <c r="C29" s="12">
        <f>(C27)+(C28)</f>
        <v>308.10000000000002</v>
      </c>
      <c r="D29" s="12">
        <f>(D27)+(D28)</f>
        <v>228.92</v>
      </c>
      <c r="E29" s="12">
        <f>(E27)+(E28)</f>
        <v>230.6</v>
      </c>
      <c r="F29" s="12">
        <f t="shared" si="1"/>
        <v>992.28</v>
      </c>
    </row>
    <row r="30" spans="1:6" x14ac:dyDescent="0.2">
      <c r="A30" s="18" t="s">
        <v>22</v>
      </c>
      <c r="B30" s="9"/>
      <c r="C30" s="9"/>
      <c r="D30" s="9"/>
      <c r="E30" s="9"/>
      <c r="F30" s="10">
        <f t="shared" si="1"/>
        <v>0</v>
      </c>
    </row>
    <row r="31" spans="1:6" x14ac:dyDescent="0.2">
      <c r="A31" s="18" t="s">
        <v>23</v>
      </c>
      <c r="B31" s="9"/>
      <c r="C31" s="9"/>
      <c r="D31" s="9"/>
      <c r="E31" s="10">
        <f>850</f>
        <v>850</v>
      </c>
      <c r="F31" s="10">
        <f t="shared" si="1"/>
        <v>850</v>
      </c>
    </row>
    <row r="32" spans="1:6" x14ac:dyDescent="0.2">
      <c r="A32" s="18" t="s">
        <v>24</v>
      </c>
      <c r="B32" s="10">
        <f>191.75</f>
        <v>191.75</v>
      </c>
      <c r="C32" s="10">
        <f>64.45</f>
        <v>64.45</v>
      </c>
      <c r="D32" s="10">
        <f>59</f>
        <v>59</v>
      </c>
      <c r="E32" s="10">
        <f>58</f>
        <v>58</v>
      </c>
      <c r="F32" s="10">
        <f t="shared" si="1"/>
        <v>373.2</v>
      </c>
    </row>
    <row r="33" spans="1:6" x14ac:dyDescent="0.2">
      <c r="A33" s="18" t="s">
        <v>25</v>
      </c>
      <c r="B33" s="10">
        <f>617</f>
        <v>617</v>
      </c>
      <c r="C33" s="10">
        <f>5607</f>
        <v>5607</v>
      </c>
      <c r="D33" s="10">
        <f>763.22</f>
        <v>763.22</v>
      </c>
      <c r="E33" s="10">
        <f>617</f>
        <v>617</v>
      </c>
      <c r="F33" s="10">
        <f t="shared" si="1"/>
        <v>7604.22</v>
      </c>
    </row>
    <row r="34" spans="1:6" x14ac:dyDescent="0.2">
      <c r="A34" s="18" t="s">
        <v>26</v>
      </c>
      <c r="B34" s="10">
        <f>584.14</f>
        <v>584.14</v>
      </c>
      <c r="C34" s="10">
        <f>945.33</f>
        <v>945.33</v>
      </c>
      <c r="D34" s="10">
        <f>673.93</f>
        <v>673.93</v>
      </c>
      <c r="E34" s="10">
        <f>977.41</f>
        <v>977.41</v>
      </c>
      <c r="F34" s="10">
        <f t="shared" si="1"/>
        <v>3180.81</v>
      </c>
    </row>
    <row r="35" spans="1:6" x14ac:dyDescent="0.2">
      <c r="A35" s="18" t="s">
        <v>27</v>
      </c>
      <c r="B35" s="9"/>
      <c r="C35" s="9"/>
      <c r="D35" s="9"/>
      <c r="E35" s="10">
        <f>71</f>
        <v>71</v>
      </c>
      <c r="F35" s="10">
        <f t="shared" si="1"/>
        <v>71</v>
      </c>
    </row>
    <row r="36" spans="1:6" x14ac:dyDescent="0.2">
      <c r="A36" s="18" t="s">
        <v>28</v>
      </c>
      <c r="B36" s="10">
        <f>675</f>
        <v>675</v>
      </c>
      <c r="C36" s="10">
        <f>793.52</f>
        <v>793.52</v>
      </c>
      <c r="D36" s="10">
        <f>600</f>
        <v>600</v>
      </c>
      <c r="E36" s="10">
        <f>600</f>
        <v>600</v>
      </c>
      <c r="F36" s="10">
        <f t="shared" si="1"/>
        <v>2668.52</v>
      </c>
    </row>
    <row r="37" spans="1:6" x14ac:dyDescent="0.2">
      <c r="A37" s="18" t="s">
        <v>29</v>
      </c>
      <c r="B37" s="10">
        <f>952.9</f>
        <v>952.9</v>
      </c>
      <c r="C37" s="10">
        <f>1462.11</f>
        <v>1462.11</v>
      </c>
      <c r="D37" s="10">
        <f>718.37</f>
        <v>718.37</v>
      </c>
      <c r="E37" s="10">
        <f>251.72</f>
        <v>251.72</v>
      </c>
      <c r="F37" s="10">
        <f t="shared" si="1"/>
        <v>3385.0999999999995</v>
      </c>
    </row>
    <row r="38" spans="1:6" x14ac:dyDescent="0.2">
      <c r="A38" s="18" t="s">
        <v>30</v>
      </c>
      <c r="B38" s="10">
        <f>1174.1</f>
        <v>1174.0999999999999</v>
      </c>
      <c r="C38" s="10">
        <f>194.46</f>
        <v>194.46</v>
      </c>
      <c r="D38" s="10">
        <f>755.8</f>
        <v>755.8</v>
      </c>
      <c r="E38" s="10">
        <f>252.32</f>
        <v>252.32</v>
      </c>
      <c r="F38" s="10">
        <f t="shared" si="1"/>
        <v>2376.6799999999998</v>
      </c>
    </row>
    <row r="39" spans="1:6" x14ac:dyDescent="0.2">
      <c r="A39" s="18" t="s">
        <v>31</v>
      </c>
      <c r="B39" s="10">
        <f>993.58</f>
        <v>993.58</v>
      </c>
      <c r="C39" s="10">
        <f>997.99</f>
        <v>997.99</v>
      </c>
      <c r="D39" s="10">
        <f>1411.98</f>
        <v>1411.98</v>
      </c>
      <c r="E39" s="10">
        <f>188.03</f>
        <v>188.03</v>
      </c>
      <c r="F39" s="10">
        <f t="shared" si="1"/>
        <v>3591.5800000000004</v>
      </c>
    </row>
    <row r="40" spans="1:6" x14ac:dyDescent="0.2">
      <c r="A40" s="18" t="s">
        <v>32</v>
      </c>
      <c r="B40" s="10">
        <f>533.75</f>
        <v>533.75</v>
      </c>
      <c r="C40" s="10">
        <f>710.57</f>
        <v>710.57</v>
      </c>
      <c r="D40" s="10">
        <f>782.88</f>
        <v>782.88</v>
      </c>
      <c r="E40" s="10">
        <f>297.48</f>
        <v>297.48</v>
      </c>
      <c r="F40" s="10">
        <f t="shared" si="1"/>
        <v>2324.6800000000003</v>
      </c>
    </row>
    <row r="41" spans="1:6" x14ac:dyDescent="0.2">
      <c r="A41" s="18" t="s">
        <v>33</v>
      </c>
      <c r="B41" s="10">
        <f>4.61</f>
        <v>4.6100000000000003</v>
      </c>
      <c r="C41" s="10">
        <f>914.76</f>
        <v>914.76</v>
      </c>
      <c r="D41" s="10">
        <f>914.76</f>
        <v>914.76</v>
      </c>
      <c r="E41" s="10">
        <f>914.76</f>
        <v>914.76</v>
      </c>
      <c r="F41" s="10">
        <f t="shared" si="1"/>
        <v>2748.8900000000003</v>
      </c>
    </row>
    <row r="42" spans="1:6" x14ac:dyDescent="0.2">
      <c r="A42" s="18" t="s">
        <v>34</v>
      </c>
      <c r="B42" s="10">
        <f>0</f>
        <v>0</v>
      </c>
      <c r="C42" s="9"/>
      <c r="D42" s="9"/>
      <c r="E42" s="9"/>
      <c r="F42" s="10">
        <f t="shared" si="1"/>
        <v>0</v>
      </c>
    </row>
    <row r="43" spans="1:6" x14ac:dyDescent="0.2">
      <c r="A43" s="18" t="s">
        <v>35</v>
      </c>
      <c r="B43" s="9"/>
      <c r="C43" s="9"/>
      <c r="D43" s="10">
        <f>49.17</f>
        <v>49.17</v>
      </c>
      <c r="E43" s="9"/>
      <c r="F43" s="10">
        <f t="shared" si="1"/>
        <v>49.17</v>
      </c>
    </row>
    <row r="44" spans="1:6" x14ac:dyDescent="0.2">
      <c r="A44" s="18" t="s">
        <v>36</v>
      </c>
      <c r="B44" s="10">
        <f>934.5</f>
        <v>934.5</v>
      </c>
      <c r="C44" s="10">
        <f>1086.95</f>
        <v>1086.95</v>
      </c>
      <c r="D44" s="10">
        <f>1487</f>
        <v>1487</v>
      </c>
      <c r="E44" s="10">
        <f>546.73</f>
        <v>546.73</v>
      </c>
      <c r="F44" s="10">
        <f t="shared" si="1"/>
        <v>4055.18</v>
      </c>
    </row>
    <row r="45" spans="1:6" x14ac:dyDescent="0.2">
      <c r="A45" s="18" t="s">
        <v>37</v>
      </c>
      <c r="B45" s="11">
        <f>((((((((((((((B30)+(B31))+(B32))+(B33))+(B34))+(B35))+(B36))+(B37))+(B38))+(B39))+(B40))+(B41))+(B42))+(B43))+(B44)</f>
        <v>6661.329999999999</v>
      </c>
      <c r="C45" s="11">
        <f>((((((((((((((C30)+(C31))+(C32))+(C33))+(C34))+(C35))+(C36))+(C37))+(C38))+(C39))+(C40))+(C41))+(C42))+(C43))+(C44)</f>
        <v>12777.14</v>
      </c>
      <c r="D45" s="11">
        <f>((((((((((((((D30)+(D31))+(D32))+(D33))+(D34))+(D35))+(D36))+(D37))+(D38))+(D39))+(D40))+(D41))+(D42))+(D43))+(D44)</f>
        <v>8216.11</v>
      </c>
      <c r="E45" s="11">
        <f>((((((((((((((E30)+(E31))+(E32))+(E33))+(E34))+(E35))+(E36))+(E37))+(E38))+(E39))+(E40))+(E41))+(E42))+(E43))+(E44)</f>
        <v>5624.4500000000007</v>
      </c>
      <c r="F45" s="11">
        <f t="shared" si="1"/>
        <v>33279.03</v>
      </c>
    </row>
    <row r="46" spans="1:6" x14ac:dyDescent="0.2">
      <c r="A46" s="18" t="s">
        <v>38</v>
      </c>
      <c r="B46" s="10">
        <f>17.5</f>
        <v>17.5</v>
      </c>
      <c r="C46" s="10">
        <f>17.5</f>
        <v>17.5</v>
      </c>
      <c r="D46" s="10">
        <f>15</f>
        <v>15</v>
      </c>
      <c r="E46" s="10">
        <f>17.5</f>
        <v>17.5</v>
      </c>
      <c r="F46" s="10">
        <f t="shared" si="1"/>
        <v>67.5</v>
      </c>
    </row>
    <row r="47" spans="1:6" x14ac:dyDescent="0.2">
      <c r="A47" s="18" t="s">
        <v>39</v>
      </c>
      <c r="B47" s="9"/>
      <c r="C47" s="9"/>
      <c r="D47" s="9"/>
      <c r="E47" s="9"/>
      <c r="F47" s="10">
        <f t="shared" si="1"/>
        <v>0</v>
      </c>
    </row>
    <row r="48" spans="1:6" x14ac:dyDescent="0.2">
      <c r="A48" s="18" t="s">
        <v>40</v>
      </c>
      <c r="B48" s="10">
        <f>761.21</f>
        <v>761.21</v>
      </c>
      <c r="C48" s="10">
        <f>1692.93</f>
        <v>1692.93</v>
      </c>
      <c r="D48" s="10">
        <f>1600.3</f>
        <v>1600.3</v>
      </c>
      <c r="E48" s="10">
        <f>1647.29</f>
        <v>1647.29</v>
      </c>
      <c r="F48" s="10">
        <f t="shared" si="1"/>
        <v>5701.7300000000005</v>
      </c>
    </row>
    <row r="49" spans="1:6" x14ac:dyDescent="0.2">
      <c r="A49" s="18" t="s">
        <v>41</v>
      </c>
      <c r="B49" s="11">
        <f>(B47)+(B48)</f>
        <v>761.21</v>
      </c>
      <c r="C49" s="11">
        <f>(C47)+(C48)</f>
        <v>1692.93</v>
      </c>
      <c r="D49" s="11">
        <f>(D47)+(D48)</f>
        <v>1600.3</v>
      </c>
      <c r="E49" s="11">
        <f>(E47)+(E48)</f>
        <v>1647.29</v>
      </c>
      <c r="F49" s="11">
        <f t="shared" si="1"/>
        <v>5701.7300000000005</v>
      </c>
    </row>
    <row r="50" spans="1:6" x14ac:dyDescent="0.2">
      <c r="A50" s="18" t="s">
        <v>42</v>
      </c>
      <c r="B50" s="10">
        <f>169.24</f>
        <v>169.24</v>
      </c>
      <c r="C50" s="9"/>
      <c r="D50" s="9"/>
      <c r="E50" s="9"/>
      <c r="F50" s="10">
        <f t="shared" si="1"/>
        <v>169.24</v>
      </c>
    </row>
    <row r="51" spans="1:6" x14ac:dyDescent="0.2">
      <c r="A51" s="18" t="s">
        <v>43</v>
      </c>
      <c r="B51" s="10">
        <f>2351.92</f>
        <v>2351.92</v>
      </c>
      <c r="C51" s="10">
        <f>2206.92</f>
        <v>2206.92</v>
      </c>
      <c r="D51" s="10">
        <f>2075.4</f>
        <v>2075.4</v>
      </c>
      <c r="E51" s="10">
        <f>2339</f>
        <v>2339</v>
      </c>
      <c r="F51" s="10">
        <f t="shared" si="1"/>
        <v>8973.24</v>
      </c>
    </row>
    <row r="52" spans="1:6" x14ac:dyDescent="0.2">
      <c r="A52" s="18" t="s">
        <v>44</v>
      </c>
      <c r="B52" s="10">
        <f>21039.29</f>
        <v>21039.29</v>
      </c>
      <c r="C52" s="10">
        <f>22655.01</f>
        <v>22655.01</v>
      </c>
      <c r="D52" s="10">
        <f>21526.74</f>
        <v>21526.74</v>
      </c>
      <c r="E52" s="10">
        <f>24145.04</f>
        <v>24145.040000000001</v>
      </c>
      <c r="F52" s="10">
        <f t="shared" si="1"/>
        <v>89366.080000000016</v>
      </c>
    </row>
    <row r="53" spans="1:6" x14ac:dyDescent="0.2">
      <c r="A53" s="18" t="s">
        <v>45</v>
      </c>
      <c r="B53" s="11">
        <f>((((B46)+(B49))+(B50))+(B51))+(B52)</f>
        <v>24339.16</v>
      </c>
      <c r="C53" s="11">
        <f>((((C46)+(C49))+(C50))+(C51))+(C52)</f>
        <v>26572.36</v>
      </c>
      <c r="D53" s="11">
        <f>((((D46)+(D49))+(D50))+(D51))+(D52)</f>
        <v>25217.440000000002</v>
      </c>
      <c r="E53" s="11">
        <f>((((E46)+(E49))+(E50))+(E51))+(E52)</f>
        <v>28148.83</v>
      </c>
      <c r="F53" s="11">
        <f t="shared" si="1"/>
        <v>104277.79000000001</v>
      </c>
    </row>
    <row r="54" spans="1:6" x14ac:dyDescent="0.2">
      <c r="A54" s="18" t="s">
        <v>46</v>
      </c>
      <c r="B54" s="10">
        <f>5999.87</f>
        <v>5999.87</v>
      </c>
      <c r="C54" s="10">
        <f>5756.42</f>
        <v>5756.42</v>
      </c>
      <c r="D54" s="10">
        <f>5756.42</f>
        <v>5756.42</v>
      </c>
      <c r="E54" s="10">
        <f>6012.95</f>
        <v>6012.95</v>
      </c>
      <c r="F54" s="10">
        <f t="shared" si="1"/>
        <v>23525.66</v>
      </c>
    </row>
    <row r="55" spans="1:6" x14ac:dyDescent="0.2">
      <c r="A55" s="18" t="s">
        <v>47</v>
      </c>
      <c r="B55" s="10">
        <f>-1500</f>
        <v>-1500</v>
      </c>
      <c r="C55" s="9"/>
      <c r="D55" s="9"/>
      <c r="E55" s="9"/>
      <c r="F55" s="10">
        <f t="shared" si="1"/>
        <v>-1500</v>
      </c>
    </row>
    <row r="56" spans="1:6" x14ac:dyDescent="0.2">
      <c r="A56" s="18" t="s">
        <v>48</v>
      </c>
      <c r="B56" s="11">
        <f>(B54)+(B55)</f>
        <v>4499.87</v>
      </c>
      <c r="C56" s="11">
        <f>(C54)+(C55)</f>
        <v>5756.42</v>
      </c>
      <c r="D56" s="11">
        <f>(D54)+(D55)</f>
        <v>5756.42</v>
      </c>
      <c r="E56" s="11">
        <f>(E54)+(E55)</f>
        <v>6012.95</v>
      </c>
      <c r="F56" s="11">
        <f t="shared" si="1"/>
        <v>22025.66</v>
      </c>
    </row>
    <row r="57" spans="1:6" x14ac:dyDescent="0.2">
      <c r="A57" s="18" t="s">
        <v>49</v>
      </c>
      <c r="B57" s="9"/>
      <c r="C57" s="9"/>
      <c r="D57" s="10">
        <f>229.53</f>
        <v>229.53</v>
      </c>
      <c r="E57" s="9"/>
      <c r="F57" s="10">
        <f t="shared" si="1"/>
        <v>229.53</v>
      </c>
    </row>
    <row r="58" spans="1:6" x14ac:dyDescent="0.2">
      <c r="A58" s="18" t="s">
        <v>50</v>
      </c>
      <c r="B58" s="11">
        <f>(((((((((B22)+(B23))+(B24))+(B25))+(B26))+(B29))+(B45))+(B53))+(B56))+(B57)</f>
        <v>50157.87</v>
      </c>
      <c r="C58" s="11">
        <f>(((((((((C22)+(C23))+(C24))+(C25))+(C26))+(C29))+(C45))+(C53))+(C56))+(C57)</f>
        <v>54125.94</v>
      </c>
      <c r="D58" s="11">
        <f>(((((((((D22)+(D23))+(D24))+(D25))+(D26))+(D29))+(D45))+(D53))+(D56))+(D57)</f>
        <v>45350.28</v>
      </c>
      <c r="E58" s="11">
        <f>(((((((((E22)+(E23))+(E24))+(E25))+(E26))+(E29))+(E45))+(E53))+(E56))+(E57)</f>
        <v>49689.56</v>
      </c>
      <c r="F58" s="11">
        <f t="shared" si="1"/>
        <v>199323.65</v>
      </c>
    </row>
    <row r="59" spans="1:6" x14ac:dyDescent="0.2">
      <c r="A59" s="18" t="s">
        <v>51</v>
      </c>
      <c r="B59" s="11">
        <f>(B20)-(B58)</f>
        <v>35282.769999999997</v>
      </c>
      <c r="C59" s="11">
        <f>(C20)-(C58)</f>
        <v>40341.39</v>
      </c>
      <c r="D59" s="11">
        <f>(D20)-(D58)</f>
        <v>22387.050000000003</v>
      </c>
      <c r="E59" s="11">
        <f>(E20)-(E58)</f>
        <v>-5690.1399999999994</v>
      </c>
      <c r="F59" s="11">
        <f t="shared" si="1"/>
        <v>92321.07</v>
      </c>
    </row>
    <row r="60" spans="1:6" x14ac:dyDescent="0.2">
      <c r="A60" s="18" t="s">
        <v>52</v>
      </c>
      <c r="B60" s="9"/>
      <c r="C60" s="9"/>
      <c r="D60" s="9"/>
      <c r="E60" s="9"/>
      <c r="F60" s="9"/>
    </row>
    <row r="61" spans="1:6" x14ac:dyDescent="0.2">
      <c r="A61" s="18" t="s">
        <v>53</v>
      </c>
      <c r="B61" s="9"/>
      <c r="C61" s="9"/>
      <c r="D61" s="9"/>
      <c r="E61" s="10">
        <f>4390.33</f>
        <v>4390.33</v>
      </c>
      <c r="F61" s="10">
        <f>(((B61)+(C61))+(D61))+(E61)</f>
        <v>4390.33</v>
      </c>
    </row>
    <row r="62" spans="1:6" x14ac:dyDescent="0.2">
      <c r="A62" s="18" t="s">
        <v>54</v>
      </c>
      <c r="B62" s="11">
        <f>B61</f>
        <v>0</v>
      </c>
      <c r="C62" s="11">
        <f>C61</f>
        <v>0</v>
      </c>
      <c r="D62" s="11">
        <f>D61</f>
        <v>0</v>
      </c>
      <c r="E62" s="11">
        <f>E61</f>
        <v>4390.33</v>
      </c>
      <c r="F62" s="11">
        <f>(((B62)+(C62))+(D62))+(E62)</f>
        <v>4390.33</v>
      </c>
    </row>
    <row r="63" spans="1:6" hidden="1" x14ac:dyDescent="0.2">
      <c r="A63" s="18" t="s">
        <v>55</v>
      </c>
      <c r="B63" s="9"/>
      <c r="C63" s="9"/>
      <c r="D63" s="9"/>
      <c r="E63" s="9"/>
      <c r="F63" s="9"/>
    </row>
    <row r="64" spans="1:6" hidden="1" x14ac:dyDescent="0.2">
      <c r="A64" s="18" t="s">
        <v>56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">
      <c r="A65" s="18" t="s">
        <v>57</v>
      </c>
      <c r="B65" s="11">
        <f>B64</f>
        <v>0</v>
      </c>
      <c r="C65" s="11">
        <f>C64</f>
        <v>0</v>
      </c>
      <c r="D65" s="11">
        <f>D64</f>
        <v>0</v>
      </c>
      <c r="E65" s="11">
        <f>E64</f>
        <v>0</v>
      </c>
      <c r="F65" s="11">
        <f>(((B65)+(C65))+(D65))+(E65)</f>
        <v>0</v>
      </c>
    </row>
    <row r="66" spans="1:6" x14ac:dyDescent="0.2">
      <c r="A66" s="18" t="s">
        <v>58</v>
      </c>
      <c r="B66" s="11">
        <f>(B62)-(B65)</f>
        <v>0</v>
      </c>
      <c r="C66" s="11">
        <f>(C62)-(C65)</f>
        <v>0</v>
      </c>
      <c r="D66" s="11">
        <f>(D62)-(D65)</f>
        <v>0</v>
      </c>
      <c r="E66" s="11">
        <f>(E62)-(E65)</f>
        <v>4390.33</v>
      </c>
      <c r="F66" s="11">
        <f>(((B66)+(C66))+(D66))+(E66)</f>
        <v>4390.33</v>
      </c>
    </row>
    <row r="67" spans="1:6" x14ac:dyDescent="0.2">
      <c r="A67" s="18" t="s">
        <v>59</v>
      </c>
      <c r="B67" s="11">
        <f>(B59)+(B66)</f>
        <v>35282.769999999997</v>
      </c>
      <c r="C67" s="11">
        <f>(C59)+(C66)</f>
        <v>40341.39</v>
      </c>
      <c r="D67" s="11">
        <f>(D59)+(D66)</f>
        <v>22387.050000000003</v>
      </c>
      <c r="E67" s="11">
        <f>(E59)+(E66)</f>
        <v>-1299.8099999999995</v>
      </c>
      <c r="F67" s="11">
        <f>(((B67)+(C67))+(D67))+(E67)</f>
        <v>96711.400000000009</v>
      </c>
    </row>
    <row r="68" spans="1:6" x14ac:dyDescent="0.2">
      <c r="A68" s="2"/>
      <c r="B68" s="3"/>
      <c r="C68" s="3"/>
      <c r="D68" s="3"/>
      <c r="E68" s="3"/>
      <c r="F68" s="3"/>
    </row>
    <row r="71" spans="1:6" x14ac:dyDescent="0.2">
      <c r="A71" s="16" t="s">
        <v>70</v>
      </c>
      <c r="B71" s="17"/>
      <c r="C71" s="17"/>
      <c r="D71" s="17"/>
      <c r="E71" s="17"/>
      <c r="F71" s="17"/>
    </row>
  </sheetData>
  <mergeCells count="4">
    <mergeCell ref="A1:F1"/>
    <mergeCell ref="A2:F2"/>
    <mergeCell ref="A3:F3"/>
    <mergeCell ref="A71:F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Darcy Crisp</cp:lastModifiedBy>
  <dcterms:created xsi:type="dcterms:W3CDTF">2020-08-09T17:25:05Z</dcterms:created>
  <dcterms:modified xsi:type="dcterms:W3CDTF">2020-12-23T19:02:17Z</dcterms:modified>
</cp:coreProperties>
</file>